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144" windowWidth="21840" windowHeight="9276" activeTab="0"/>
  </bookViews>
  <sheets>
    <sheet name="RZ-3-11" sheetId="1" r:id="rId1"/>
    <sheet name="podklady" sheetId="2" r:id="rId2"/>
  </sheets>
  <definedNames>
    <definedName name="_xlnm.Print_Area" localSheetId="1">'podklady'!$A$1:$I$282</definedName>
    <definedName name="_xlnm.Print_Area" localSheetId="0">'RZ-3-11'!$A$1:$G$32</definedName>
  </definedNames>
  <calcPr fullCalcOnLoad="1"/>
</workbook>
</file>

<file path=xl/sharedStrings.xml><?xml version="1.0" encoding="utf-8"?>
<sst xmlns="http://schemas.openxmlformats.org/spreadsheetml/2006/main" count="284" uniqueCount="262">
  <si>
    <t>I. ROZPOČTOVÉ PŘÍJMY</t>
  </si>
  <si>
    <t>0000 1111 Daň z příjmů fyzických osob ze záv.čin. a</t>
  </si>
  <si>
    <t>0000 1112 Daň z příjmů fyzických osob ze SVČ</t>
  </si>
  <si>
    <t>0000 1113 Daň z příjmů fyzických osob z kapit. výnos</t>
  </si>
  <si>
    <t>0000 1121 Daň z příjmů právnických osob</t>
  </si>
  <si>
    <t>0000 1122 Daň z příjmů právnických osob za obce</t>
  </si>
  <si>
    <t>0000 1211 Daň z přidané hodnoty</t>
  </si>
  <si>
    <t>0000 1337 Poplatek za provoz, shrom.,.. a odstr. kom</t>
  </si>
  <si>
    <t>0000 1341 Poplatek ze psů</t>
  </si>
  <si>
    <t>0000 1342 Poplatek za lázeňský nebo rekreační pobyt</t>
  </si>
  <si>
    <t>0000 1344 Poplatek ze vstupného</t>
  </si>
  <si>
    <t>0000 1361 Správní poplatky</t>
  </si>
  <si>
    <t>0000 1511 Daň z nemovitostí</t>
  </si>
  <si>
    <t>0000 2420 Spl.půjč.prostř.od obecně prosp.spol.a pod</t>
  </si>
  <si>
    <t>0000 2460 Splátky půjčených prostředků od obyvatelst</t>
  </si>
  <si>
    <t>0000 4111 Neinvestiční přijaté transf.z všeob.pokl.s</t>
  </si>
  <si>
    <t>0000 4112 Neinv.př.transfery ze SR v rámci souhr.dot</t>
  </si>
  <si>
    <t>0000 4131 Převody z vlast.fondů hospodářské(podnikat</t>
  </si>
  <si>
    <t>0000 4134 Převody z rozpočtových účtů</t>
  </si>
  <si>
    <t>0000 4222 Investiční přijaté transfery od krajů</t>
  </si>
  <si>
    <t>* 0000      Bez ODPA</t>
  </si>
  <si>
    <t>3349 2111 Příjmy z poskytování služeb a výrobků</t>
  </si>
  <si>
    <t>* 3349      Ostatní záležitosti sdělovacích prostředků</t>
  </si>
  <si>
    <t>3632 2111 Příjmy z poskytování služeb a výrobků</t>
  </si>
  <si>
    <t>* 3632      Pohřebnictví</t>
  </si>
  <si>
    <t>3639 3111 Příjmy z prodeje pozemků</t>
  </si>
  <si>
    <t>* 3639      Komunální služby a územní rozvoj j.n.</t>
  </si>
  <si>
    <t>3722 2111 Příjmy z poskytování služeb a výrobků</t>
  </si>
  <si>
    <t>* 3722      Sběr a svoz komunálních odpadů</t>
  </si>
  <si>
    <t>3723 2111 Příjmy z poskytování služeb a výrobků</t>
  </si>
  <si>
    <t>* 3723      Sběr a svoz ost.odpadů (jiných než nebez.a</t>
  </si>
  <si>
    <t>6171 2111 Příjmy z poskytování služeb a výrobků</t>
  </si>
  <si>
    <t>6171 2329 Ostatní nedaňové příjmy jinde nezařazené</t>
  </si>
  <si>
    <t>* 6171      Činnost místní správy</t>
  </si>
  <si>
    <t>6310 2141 Příjmy z úroků (část)</t>
  </si>
  <si>
    <t>* 6310      Obecné příjmy a výdaje z finančních operac</t>
  </si>
  <si>
    <t>6402 2223 Příjmy z fin. vypoř. min. let mezi krajem</t>
  </si>
  <si>
    <t>* 6402      Finanční vypořádání minulých let</t>
  </si>
  <si>
    <t>**</t>
  </si>
  <si>
    <t>II. ROZPOČTOVÉ VÝDAJE</t>
  </si>
  <si>
    <t>2212 5139 Nákup materiálu j.n.</t>
  </si>
  <si>
    <t>2212 5169 Nákup ostatních služeb</t>
  </si>
  <si>
    <t>2212 5171 Opravy a udržování</t>
  </si>
  <si>
    <t>2212 5362 Platby daní a poplatků státnímu rozpočtu</t>
  </si>
  <si>
    <t>2212 6121 Budovy, haly a stavby</t>
  </si>
  <si>
    <t>2212 6130 Pozemky</t>
  </si>
  <si>
    <t>* 2212      Silnice</t>
  </si>
  <si>
    <t>2219 5169 Nákup ostatních služeb</t>
  </si>
  <si>
    <t>* 2219      Ostatní záležitosti pozemních komunikací</t>
  </si>
  <si>
    <t>2221 5139 Nákup materiálu j.n.</t>
  </si>
  <si>
    <t>2221 5171 Opravy a udržování</t>
  </si>
  <si>
    <t>* 2221      Provoz veřejné silniční dopravy</t>
  </si>
  <si>
    <t>2321 5171 Opravy a udržování</t>
  </si>
  <si>
    <t>* 2321      Odvádění a čištění odpadních vod a nakl.s</t>
  </si>
  <si>
    <t>3113 5149 Ostatní úroky a ostatní finanční výdaje</t>
  </si>
  <si>
    <t>3113 5331 Neinvestiční příspěvky zřízeným příspěvkov</t>
  </si>
  <si>
    <t>3113 5336 Neinvest. dotace zřízeným příspěvkovým org</t>
  </si>
  <si>
    <t>* 3113      Základní školy</t>
  </si>
  <si>
    <t>3314 5021 Ostatní osobní výdaje</t>
  </si>
  <si>
    <t>3314 5136 Knihy, učební pomůcky a tisk</t>
  </si>
  <si>
    <t>3314 5139 Nákup materiálu j.n.</t>
  </si>
  <si>
    <t>3314 5149 Ostatní úroky a ostatní finanční výdaje</t>
  </si>
  <si>
    <t>3314 5154 Elektrická energie</t>
  </si>
  <si>
    <t>3314 5169 Nákup ostatních služeb</t>
  </si>
  <si>
    <t>3314 5171 Opravy a udržování</t>
  </si>
  <si>
    <t>3314 5173 Cestovné (tuzemské i zahraniční)</t>
  </si>
  <si>
    <t>3314 5229 Ostatní neinv.transfery nezisk.a podob.org</t>
  </si>
  <si>
    <t>* 3314      Činnosti knihovnické</t>
  </si>
  <si>
    <t>3317 5139 Nákup materiálu j.n.</t>
  </si>
  <si>
    <t>3317 5169 Nákup ostatních služeb</t>
  </si>
  <si>
    <t>3317 5175 Pohoštění</t>
  </si>
  <si>
    <t>* 3317      Výstavní činnosti v kultuře</t>
  </si>
  <si>
    <t>3319 5021 Ostatní osobní výdaje</t>
  </si>
  <si>
    <t>3319 5136 Knihy, učební pomůcky a tisk</t>
  </si>
  <si>
    <t>3319 5139 Nákup materiálu j.n.</t>
  </si>
  <si>
    <t>* 3319      Ostatní záležitosti kultury</t>
  </si>
  <si>
    <t>3326 5149 Ostatní úroky a ostatní finanční výdaje</t>
  </si>
  <si>
    <t>3326 5169 Nákup ostatních služeb</t>
  </si>
  <si>
    <t>3326 5171 Opravy a udržování</t>
  </si>
  <si>
    <t>* 3326      Pořízení,zachování a obnova hodnot nár his</t>
  </si>
  <si>
    <t>3329 5139 Nákup materiálu j.n.</t>
  </si>
  <si>
    <t>3329 5154 Elektrická energie</t>
  </si>
  <si>
    <t>3329 5171 Opravy a udržování</t>
  </si>
  <si>
    <t>* 3329      Ostatní zál.ochrany památek a péče o kult.</t>
  </si>
  <si>
    <t>3349 5169 Nákup ostatních služeb</t>
  </si>
  <si>
    <t>3399 5139 Nákup materiálu j.n.</t>
  </si>
  <si>
    <t>3399 5169 Nákup ostatních služeb</t>
  </si>
  <si>
    <t>3399 5175 Pohoštění</t>
  </si>
  <si>
    <t>3399 5194 Věcné dary</t>
  </si>
  <si>
    <t>* 3399      Ostatní záležitosti kultury,církví a sděl.</t>
  </si>
  <si>
    <t>3412 5139 Nákup materiálu j.n.</t>
  </si>
  <si>
    <t>3412 5149 Ostatní úroky a ostatní finanční výdaje</t>
  </si>
  <si>
    <t>3412 5169 Nákup ostatních služeb</t>
  </si>
  <si>
    <t>3412 5171 Opravy a udržování</t>
  </si>
  <si>
    <t>* 3412      Sportovní zařízení v majetku obce</t>
  </si>
  <si>
    <t>3421 5229 Ostatní neinv.transfery nezisk.a podob.org</t>
  </si>
  <si>
    <t>3421 6121 Budovy, haly a stavby</t>
  </si>
  <si>
    <t>* 3421      Využití volného času dětí a mládeže</t>
  </si>
  <si>
    <t>3429 5139 Nákup materiálu j.n.</t>
  </si>
  <si>
    <t>3429 5171 Opravy a udržování</t>
  </si>
  <si>
    <t>* 3429      Ostatní zájmová činnost a rekreace</t>
  </si>
  <si>
    <t>3511 5151 Studená voda</t>
  </si>
  <si>
    <t>3511 5154 Elektrická energie</t>
  </si>
  <si>
    <t>3511 5164 Nájemné</t>
  </si>
  <si>
    <t>3511 5171 Opravy a udržování</t>
  </si>
  <si>
    <t>* 3511      Všeobecná ambulantní péče</t>
  </si>
  <si>
    <t>3612 5137 Drobný hmotný dlouhodobý majetek</t>
  </si>
  <si>
    <t>3612 5149 Ostatní úroky a ostatní finanční výdaje</t>
  </si>
  <si>
    <t>3612 5151 Studená voda</t>
  </si>
  <si>
    <t>3612 5154 Elektrická energie</t>
  </si>
  <si>
    <t>3612 5171 Opravy a udržování</t>
  </si>
  <si>
    <t>* 3612      Bytové hospodářství</t>
  </si>
  <si>
    <t>3631 5139 Nákup materiálu j.n.</t>
  </si>
  <si>
    <t>3631 5154 Elektrická energie</t>
  </si>
  <si>
    <t>3631 5171 Opravy a udržování</t>
  </si>
  <si>
    <t>* 3631      Veřejné osvětlení</t>
  </si>
  <si>
    <t>3632 5139 Nákup materiálu j.n.</t>
  </si>
  <si>
    <t>3632 5151 Studená voda</t>
  </si>
  <si>
    <t>3632 5171 Opravy a udržování</t>
  </si>
  <si>
    <t>3636 5169 Nákup ostatních služeb</t>
  </si>
  <si>
    <t>3636 5329 Ostatní neinv.transfery veř.rozp.územní úr</t>
  </si>
  <si>
    <t>3636 5362 Platby daní a poplatků státnímu rozpočtu</t>
  </si>
  <si>
    <t>3636 6121 Budovy, haly a stavby</t>
  </si>
  <si>
    <t>* 3636      Územní rozvoj</t>
  </si>
  <si>
    <t>3639 5169 Nákup ostatních služeb</t>
  </si>
  <si>
    <t>3639 5362 Platby daní a poplatků státnímu rozpočtu</t>
  </si>
  <si>
    <t>3639 6121 Budovy, haly a stavby</t>
  </si>
  <si>
    <t>3639 6130 Pozemky</t>
  </si>
  <si>
    <t>3722 5139 Nákup materiálu j.n.</t>
  </si>
  <si>
    <t>3722 5169 Nákup ostatních služeb</t>
  </si>
  <si>
    <t>3722 5171 Opravy a udržování</t>
  </si>
  <si>
    <t>3723 5164 Nájemné</t>
  </si>
  <si>
    <t>3723 5169 Nákup ostatních služeb</t>
  </si>
  <si>
    <t>3724 5169 Nákup ostatních služeb</t>
  </si>
  <si>
    <t>* 3724      Využívání a zneškodňování nebezpečných odp</t>
  </si>
  <si>
    <t>3726 5164 Nájemné</t>
  </si>
  <si>
    <t>3726 5169 Nákup ostatních služeb</t>
  </si>
  <si>
    <t>* 3726      Využívání a zneškodňování ostatních odpadů</t>
  </si>
  <si>
    <t>3745 5011 Platy zaměstnanců v pracovním poměru</t>
  </si>
  <si>
    <t>3745 5021 Ostatní osobní výdaje</t>
  </si>
  <si>
    <t>3745 5031 Povinné poj.na soc.zab.a přísp.na st.pol.z</t>
  </si>
  <si>
    <t>3745 5032 Povinné poj.na veřejné zdravotní pojištění</t>
  </si>
  <si>
    <t>3745 5137 Drobný hmotný dlouhodobý majetek</t>
  </si>
  <si>
    <t>3745 5139 Nákup materiálu j.n.</t>
  </si>
  <si>
    <t>3745 5156 Pohonné hmoty a maziva</t>
  </si>
  <si>
    <t>3745 5169 Nákup ostatních služeb</t>
  </si>
  <si>
    <t>3745 5171 Opravy a udržování</t>
  </si>
  <si>
    <t>3745 5362 Platby daní a poplatků státnímu rozpočtu</t>
  </si>
  <si>
    <t>3745 6121 Budovy, haly a stavby</t>
  </si>
  <si>
    <t>* 3745      Péče o vzhled obcí a veřejnou zeleň</t>
  </si>
  <si>
    <t>5319 5169 Nákup ostatních služeb</t>
  </si>
  <si>
    <t>5319 5321 Neinvestiční transfery obcím</t>
  </si>
  <si>
    <t>* 5319      Ostatní záležitosti bezpečnosti a veřejnéh</t>
  </si>
  <si>
    <t>5512 5021 Ostatní osobní výdaje</t>
  </si>
  <si>
    <t>5512 5029 Ostatní platby za provedenou práci jinde n</t>
  </si>
  <si>
    <t>5512 5038 Povinné pojistné na úrazové pojištění</t>
  </si>
  <si>
    <t>5512 5137 Drobný hmotný dlouhodobý majetek</t>
  </si>
  <si>
    <t>5512 5139 Nákup materiálu j.n.</t>
  </si>
  <si>
    <t>5512 5149 Ostatní úroky a ostatní finanční výdaje</t>
  </si>
  <si>
    <t>5512 5151 Studená voda</t>
  </si>
  <si>
    <t>5512 5154 Elektrická energie</t>
  </si>
  <si>
    <t>5512 5155 Pevná paliva</t>
  </si>
  <si>
    <t>5512 5156 Pohonné hmoty a maziva</t>
  </si>
  <si>
    <t>5512 5162 Služby telekomunikací a radiokomunikací</t>
  </si>
  <si>
    <t>5512 5167 Služby školení a vzdělávání</t>
  </si>
  <si>
    <t>5512 5169 Nákup ostatních služeb</t>
  </si>
  <si>
    <t>5512 5171 Opravy a udržování</t>
  </si>
  <si>
    <t>5512 5173 Cestovné (tuzemské i zahraniční)</t>
  </si>
  <si>
    <t>5512 6121 Budovy, haly a stavby</t>
  </si>
  <si>
    <t>* 5512      Požární ochrana - dobrovolná část</t>
  </si>
  <si>
    <t>6112 5023 Odměny členů zastupitelstva obcí a krajů</t>
  </si>
  <si>
    <t>* 6112      Zastupitelstva obcí</t>
  </si>
  <si>
    <t>6149 5021 Ostatní osobní výdaje</t>
  </si>
  <si>
    <t>* 6149      Ostatní všeobecná vnitřní správa j.n.</t>
  </si>
  <si>
    <t>6171 5011 Platy zaměstnanců v pracovním poměru</t>
  </si>
  <si>
    <t>6171 5019 Ostatní platy</t>
  </si>
  <si>
    <t>6171 5021 Ostatní osobní výdaje</t>
  </si>
  <si>
    <t>6171 5031 Povinné poj.na soc.zab.a přísp.na st.pol.z</t>
  </si>
  <si>
    <t>6171 5032 Povinné poj.na veřejné zdravotní pojištění</t>
  </si>
  <si>
    <t>6171 5038 Povinné pojistné na úrazové pojištění</t>
  </si>
  <si>
    <t>6171 5136 Knihy, učební pomůcky a tisk</t>
  </si>
  <si>
    <t>6171 5137 Drobný hmotný dlouhodobý majetek</t>
  </si>
  <si>
    <t>6171 5139 Nákup materiálu j.n.</t>
  </si>
  <si>
    <t>6171 5149 Ostatní úroky a ostatní finanční výdaje</t>
  </si>
  <si>
    <t>6171 5154 Elektrická energie</t>
  </si>
  <si>
    <t>6171 5161 Služby pošt</t>
  </si>
  <si>
    <t>6171 5162 Služby telekomunikací a radiokomunikací</t>
  </si>
  <si>
    <t>6171 5164 Nájemné</t>
  </si>
  <si>
    <t>6171 5166 Konzultační, poradenské a právní služby</t>
  </si>
  <si>
    <t>6171 5167 Služby školení a vzdělávání</t>
  </si>
  <si>
    <t>6171 5169 Nákup ostatních služeb</t>
  </si>
  <si>
    <t>6171 5171 Opravy a udržování</t>
  </si>
  <si>
    <t>6171 5172 Programové vybavení</t>
  </si>
  <si>
    <t>6171 5173 Cestovné (tuzemské i zahraniční)</t>
  </si>
  <si>
    <t>6171 5175 Pohoštění</t>
  </si>
  <si>
    <t>6171 5181 Poskytnuté zálohy vnitřním organizačním je</t>
  </si>
  <si>
    <t>6171 5182 Poskytované zálohy vlastní pokladně</t>
  </si>
  <si>
    <t>6171 5229 Ostatní neinv.transfery nezisk.a podob.org</t>
  </si>
  <si>
    <t>6171 5361 Nákup kolků</t>
  </si>
  <si>
    <t>6171 5362 Platby daní a poplatků státnímu rozpočtu</t>
  </si>
  <si>
    <t>6310 5163 Služby peněžních ústavů</t>
  </si>
  <si>
    <t>6330 5345 Převody vlastním rozpočtovým účtům</t>
  </si>
  <si>
    <t>6330 5349 Ostatní převody vlastním fondům</t>
  </si>
  <si>
    <t>* 6330      Převody vlastním fondům v rozpočtech územn</t>
  </si>
  <si>
    <t>6399 5362 Platby daní a poplatků státnímu rozpočtu</t>
  </si>
  <si>
    <t>* 6399      Ostatní finanční operace</t>
  </si>
  <si>
    <t>3631 6121 Budovy, haly a stavby</t>
  </si>
  <si>
    <t>Příjmy</t>
  </si>
  <si>
    <t>Výdaje</t>
  </si>
  <si>
    <t>Městys Kunvald</t>
  </si>
  <si>
    <t>Schváleno Zastupitelstvem městyse dne:</t>
  </si>
  <si>
    <t>číslo dokladu:</t>
  </si>
  <si>
    <t>MĚSTYS KUNVALD</t>
  </si>
  <si>
    <t>schválený rozpočet</t>
  </si>
  <si>
    <t>rozpočet po změnách</t>
  </si>
  <si>
    <t>skutečnost</t>
  </si>
  <si>
    <t>RS</t>
  </si>
  <si>
    <t>RU</t>
  </si>
  <si>
    <t>0000 4116 Ostatní neinv.přijaté transfery ze st. Roz ŠKOLA</t>
  </si>
  <si>
    <t>0000 4116 Ostatní neinv.přijaté transfery ze st. Roz VPP</t>
  </si>
  <si>
    <t>0000 4223 Investiční přijaté transfery od regionální CHODNÍK</t>
  </si>
  <si>
    <t>0000 4223 Investiční přijaté transfery od regionální CENTRUM</t>
  </si>
  <si>
    <t>3326 2329 Ostatní nedaňové příjmy jinde nezařazené</t>
  </si>
  <si>
    <t>2212 5137 Drobný hmotný dlouhodobý majetek</t>
  </si>
  <si>
    <t>2212 5171 Opravy a udržování ZIMNÍ ÚDRŽBA</t>
  </si>
  <si>
    <t>2212 5361 Nákup kolků</t>
  </si>
  <si>
    <t>3326 6127 Umělecká díla a předměty</t>
  </si>
  <si>
    <t>3636 5219 Ostatní neinv. transfery podnikatelským su</t>
  </si>
  <si>
    <t>PŘÍJMY CELKEM PO KONSOLIDACI                      4200</t>
  </si>
  <si>
    <t>VÝDAJE CELKEM PO KONSOLIDACI                      4430</t>
  </si>
  <si>
    <t>SALDO PŘÍJMŮ A VÝDAJŮ PO KONSOLIDACI              4440</t>
  </si>
  <si>
    <t>TŘÍDA 8 - FINANCOVÁNÍ                             4450</t>
  </si>
  <si>
    <t>příkazce operace, schválil:</t>
  </si>
  <si>
    <t>správce rozpočtu, hlavní účetní, zaúčtoval:</t>
  </si>
  <si>
    <t>231/0040</t>
  </si>
  <si>
    <t>8115</t>
  </si>
  <si>
    <t xml:space="preserve"> </t>
  </si>
  <si>
    <t>Schváleno starostou městyse dne:</t>
  </si>
  <si>
    <t>Rozpočtové opatrření č.:</t>
  </si>
  <si>
    <t>zveřejněno</t>
  </si>
  <si>
    <t>xxx</t>
  </si>
  <si>
    <t>Dle pověření ZM ze zasedání č. 47/2010 dne 13.5.2010.</t>
  </si>
  <si>
    <t>231/0094</t>
  </si>
  <si>
    <t>05 / 2020</t>
  </si>
  <si>
    <t>č. dok. - R 07/2020 uct</t>
  </si>
  <si>
    <t>5512</t>
  </si>
  <si>
    <t>4111</t>
  </si>
  <si>
    <t>98024</t>
  </si>
  <si>
    <t>dotace KrÚ kompenzační bonus COVID</t>
  </si>
  <si>
    <t>6121</t>
  </si>
  <si>
    <t>TZ SDH čp.7</t>
  </si>
  <si>
    <t>10.9.2020</t>
  </si>
  <si>
    <t>SDH havarijní pojištění Ford Tranzit</t>
  </si>
  <si>
    <t>5163</t>
  </si>
  <si>
    <t>98193</t>
  </si>
  <si>
    <t>Volby Pk</t>
  </si>
  <si>
    <t>SDH vybavení (pila, zás.oděvy)</t>
  </si>
  <si>
    <t>4112</t>
  </si>
  <si>
    <t>3636</t>
  </si>
  <si>
    <t>3111</t>
  </si>
  <si>
    <t>prodej pozemků</t>
  </si>
  <si>
    <t>od 30.09.2020                                       do 31.03.2021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</si>
</sst>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_-* #,##0.0\ _K_č_-;\-* #,##0.0\ _K_č_-;_-* &quot;-&quot;??\ _K_č_-;_-@_-"/>
    <numFmt numFmtId="166" formatCode="_-* #,##0\ _K_č_-;\-* #,##0\ _K_č_-;_-* &quot;-&quot;??\ _K_č_-;_-@_-"/>
  </numFmts>
  <fonts count="49">
    <font>
      <sz val="10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"/>
      <name val="Arial Black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4" fontId="0" fillId="0" borderId="0" xfId="38" applyFont="1" applyAlignment="1">
      <alignment/>
    </xf>
    <xf numFmtId="44" fontId="2" fillId="0" borderId="0" xfId="38" applyFont="1" applyAlignment="1">
      <alignment/>
    </xf>
    <xf numFmtId="44" fontId="3" fillId="0" borderId="0" xfId="38" applyFont="1" applyAlignment="1">
      <alignment/>
    </xf>
    <xf numFmtId="49" fontId="4" fillId="0" borderId="0" xfId="0" applyNumberFormat="1" applyFont="1" applyAlignment="1">
      <alignment/>
    </xf>
    <xf numFmtId="49" fontId="5" fillId="0" borderId="0" xfId="38" applyNumberFormat="1" applyFont="1" applyAlignment="1">
      <alignment/>
    </xf>
    <xf numFmtId="0" fontId="4" fillId="0" borderId="0" xfId="0" applyFont="1" applyAlignment="1">
      <alignment/>
    </xf>
    <xf numFmtId="44" fontId="6" fillId="0" borderId="0" xfId="38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44" fontId="7" fillId="0" borderId="11" xfId="38" applyFont="1" applyBorder="1" applyAlignment="1">
      <alignment/>
    </xf>
    <xf numFmtId="0" fontId="4" fillId="0" borderId="12" xfId="0" applyFont="1" applyBorder="1" applyAlignment="1">
      <alignment/>
    </xf>
    <xf numFmtId="44" fontId="7" fillId="0" borderId="13" xfId="38" applyFont="1" applyBorder="1" applyAlignment="1">
      <alignment/>
    </xf>
    <xf numFmtId="0" fontId="4" fillId="0" borderId="14" xfId="0" applyFont="1" applyBorder="1" applyAlignment="1">
      <alignment/>
    </xf>
    <xf numFmtId="44" fontId="7" fillId="0" borderId="15" xfId="38" applyFont="1" applyBorder="1" applyAlignment="1">
      <alignment/>
    </xf>
    <xf numFmtId="44" fontId="0" fillId="0" borderId="0" xfId="38" applyFont="1" applyAlignment="1">
      <alignment horizontal="right"/>
    </xf>
    <xf numFmtId="0" fontId="8" fillId="33" borderId="16" xfId="0" applyFont="1" applyFill="1" applyBorder="1" applyAlignment="1">
      <alignment/>
    </xf>
    <xf numFmtId="44" fontId="8" fillId="33" borderId="16" xfId="38" applyFont="1" applyFill="1" applyBorder="1" applyAlignment="1">
      <alignment horizontal="right"/>
    </xf>
    <xf numFmtId="44" fontId="8" fillId="33" borderId="16" xfId="38" applyFont="1" applyFill="1" applyBorder="1" applyAlignment="1">
      <alignment/>
    </xf>
    <xf numFmtId="44" fontId="3" fillId="33" borderId="16" xfId="38" applyFont="1" applyFill="1" applyBorder="1" applyAlignment="1">
      <alignment/>
    </xf>
    <xf numFmtId="44" fontId="2" fillId="33" borderId="16" xfId="38" applyFont="1" applyFill="1" applyBorder="1" applyAlignment="1">
      <alignment/>
    </xf>
    <xf numFmtId="44" fontId="0" fillId="0" borderId="0" xfId="38" applyFont="1" applyFill="1" applyAlignment="1">
      <alignment horizontal="right"/>
    </xf>
    <xf numFmtId="44" fontId="0" fillId="0" borderId="0" xfId="0" applyNumberFormat="1" applyAlignment="1">
      <alignment/>
    </xf>
    <xf numFmtId="0" fontId="0" fillId="0" borderId="16" xfId="0" applyBorder="1" applyAlignment="1">
      <alignment/>
    </xf>
    <xf numFmtId="44" fontId="0" fillId="0" borderId="16" xfId="38" applyFont="1" applyBorder="1" applyAlignment="1">
      <alignment horizontal="right"/>
    </xf>
    <xf numFmtId="44" fontId="0" fillId="0" borderId="16" xfId="38" applyFont="1" applyBorder="1" applyAlignment="1">
      <alignment/>
    </xf>
    <xf numFmtId="44" fontId="3" fillId="0" borderId="16" xfId="38" applyFont="1" applyBorder="1" applyAlignment="1">
      <alignment/>
    </xf>
    <xf numFmtId="44" fontId="2" fillId="0" borderId="16" xfId="38" applyFont="1" applyBorder="1" applyAlignment="1">
      <alignment/>
    </xf>
    <xf numFmtId="44" fontId="0" fillId="0" borderId="16" xfId="0" applyNumberFormat="1" applyBorder="1" applyAlignment="1">
      <alignment/>
    </xf>
    <xf numFmtId="44" fontId="0" fillId="0" borderId="16" xfId="38" applyFont="1" applyFill="1" applyBorder="1" applyAlignment="1">
      <alignment horizontal="right"/>
    </xf>
    <xf numFmtId="0" fontId="8" fillId="34" borderId="16" xfId="0" applyFont="1" applyFill="1" applyBorder="1" applyAlignment="1">
      <alignment/>
    </xf>
    <xf numFmtId="44" fontId="8" fillId="34" borderId="16" xfId="38" applyFont="1" applyFill="1" applyBorder="1" applyAlignment="1">
      <alignment horizontal="right"/>
    </xf>
    <xf numFmtId="44" fontId="8" fillId="34" borderId="16" xfId="38" applyFont="1" applyFill="1" applyBorder="1" applyAlignment="1">
      <alignment/>
    </xf>
    <xf numFmtId="43" fontId="4" fillId="0" borderId="0" xfId="34" applyFont="1" applyAlignment="1">
      <alignment/>
    </xf>
    <xf numFmtId="44" fontId="7" fillId="0" borderId="0" xfId="38" applyFont="1" applyBorder="1" applyAlignment="1">
      <alignment/>
    </xf>
    <xf numFmtId="49" fontId="5" fillId="0" borderId="0" xfId="38" applyNumberFormat="1" applyFont="1" applyBorder="1" applyAlignment="1">
      <alignment/>
    </xf>
    <xf numFmtId="49" fontId="4" fillId="0" borderId="0" xfId="38" applyNumberFormat="1" applyFont="1" applyBorder="1" applyAlignment="1">
      <alignment/>
    </xf>
    <xf numFmtId="44" fontId="6" fillId="0" borderId="17" xfId="38" applyFont="1" applyBorder="1" applyAlignment="1">
      <alignment/>
    </xf>
    <xf numFmtId="44" fontId="6" fillId="0" borderId="18" xfId="38" applyFont="1" applyBorder="1" applyAlignment="1">
      <alignment/>
    </xf>
    <xf numFmtId="44" fontId="6" fillId="0" borderId="19" xfId="38" applyFont="1" applyBorder="1" applyAlignment="1">
      <alignment/>
    </xf>
    <xf numFmtId="0" fontId="8" fillId="33" borderId="0" xfId="0" applyFont="1" applyFill="1" applyAlignment="1">
      <alignment/>
    </xf>
    <xf numFmtId="44" fontId="8" fillId="33" borderId="0" xfId="38" applyFont="1" applyFill="1" applyAlignment="1">
      <alignment horizontal="right"/>
    </xf>
    <xf numFmtId="44" fontId="8" fillId="33" borderId="0" xfId="38" applyFont="1" applyFill="1" applyAlignment="1">
      <alignment/>
    </xf>
    <xf numFmtId="44" fontId="3" fillId="33" borderId="0" xfId="38" applyFont="1" applyFill="1" applyAlignment="1">
      <alignment/>
    </xf>
    <xf numFmtId="44" fontId="2" fillId="33" borderId="0" xfId="38" applyFont="1" applyFill="1" applyAlignment="1">
      <alignment/>
    </xf>
    <xf numFmtId="0" fontId="8" fillId="34" borderId="0" xfId="0" applyFont="1" applyFill="1" applyAlignment="1">
      <alignment/>
    </xf>
    <xf numFmtId="44" fontId="8" fillId="34" borderId="0" xfId="38" applyFont="1" applyFill="1" applyAlignment="1">
      <alignment horizontal="right"/>
    </xf>
    <xf numFmtId="44" fontId="8" fillId="34" borderId="0" xfId="38" applyFont="1" applyFill="1" applyAlignment="1">
      <alignment/>
    </xf>
    <xf numFmtId="44" fontId="3" fillId="34" borderId="0" xfId="38" applyFont="1" applyFill="1" applyAlignment="1">
      <alignment/>
    </xf>
    <xf numFmtId="44" fontId="2" fillId="34" borderId="0" xfId="38" applyFont="1" applyFill="1" applyAlignment="1">
      <alignment/>
    </xf>
    <xf numFmtId="0" fontId="0" fillId="33" borderId="20" xfId="0" applyFill="1" applyBorder="1" applyAlignment="1">
      <alignment/>
    </xf>
    <xf numFmtId="44" fontId="0" fillId="33" borderId="20" xfId="38" applyFont="1" applyFill="1" applyBorder="1" applyAlignment="1">
      <alignment horizontal="right"/>
    </xf>
    <xf numFmtId="44" fontId="0" fillId="33" borderId="20" xfId="38" applyFont="1" applyFill="1" applyBorder="1" applyAlignment="1">
      <alignment/>
    </xf>
    <xf numFmtId="44" fontId="3" fillId="33" borderId="20" xfId="38" applyFont="1" applyFill="1" applyBorder="1" applyAlignment="1">
      <alignment/>
    </xf>
    <xf numFmtId="44" fontId="2" fillId="33" borderId="20" xfId="38" applyFont="1" applyFill="1" applyBorder="1" applyAlignment="1">
      <alignment/>
    </xf>
    <xf numFmtId="0" fontId="0" fillId="34" borderId="0" xfId="0" applyFill="1" applyAlignment="1">
      <alignment/>
    </xf>
    <xf numFmtId="44" fontId="0" fillId="34" borderId="0" xfId="38" applyFont="1" applyFill="1" applyAlignment="1">
      <alignment horizontal="right"/>
    </xf>
    <xf numFmtId="44" fontId="0" fillId="34" borderId="0" xfId="38" applyFont="1" applyFill="1" applyAlignment="1">
      <alignment/>
    </xf>
    <xf numFmtId="0" fontId="8" fillId="35" borderId="0" xfId="0" applyFont="1" applyFill="1" applyAlignment="1">
      <alignment/>
    </xf>
    <xf numFmtId="44" fontId="8" fillId="35" borderId="0" xfId="38" applyFont="1" applyFill="1" applyAlignment="1">
      <alignment horizontal="right"/>
    </xf>
    <xf numFmtId="44" fontId="8" fillId="35" borderId="0" xfId="38" applyFont="1" applyFill="1" applyAlignment="1">
      <alignment/>
    </xf>
    <xf numFmtId="44" fontId="2" fillId="35" borderId="0" xfId="38" applyFont="1" applyFill="1" applyAlignment="1">
      <alignment/>
    </xf>
    <xf numFmtId="0" fontId="9" fillId="35" borderId="0" xfId="0" applyFont="1" applyFill="1" applyAlignment="1">
      <alignment/>
    </xf>
    <xf numFmtId="44" fontId="9" fillId="35" borderId="0" xfId="38" applyFont="1" applyFill="1" applyAlignment="1">
      <alignment horizontal="right"/>
    </xf>
    <xf numFmtId="44" fontId="9" fillId="35" borderId="0" xfId="38" applyFont="1" applyFill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Alignment="1">
      <alignment horizontal="left"/>
    </xf>
    <xf numFmtId="49" fontId="4" fillId="0" borderId="12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43" fontId="10" fillId="0" borderId="0" xfId="34" applyFont="1" applyBorder="1" applyAlignment="1">
      <alignment/>
    </xf>
    <xf numFmtId="43" fontId="10" fillId="0" borderId="0" xfId="34" applyFont="1" applyAlignment="1">
      <alignment/>
    </xf>
    <xf numFmtId="166" fontId="10" fillId="0" borderId="0" xfId="34" applyNumberFormat="1" applyFont="1" applyAlignment="1">
      <alignment/>
    </xf>
    <xf numFmtId="166" fontId="10" fillId="0" borderId="0" xfId="34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43" fontId="11" fillId="0" borderId="23" xfId="34" applyFont="1" applyBorder="1" applyAlignment="1">
      <alignment/>
    </xf>
    <xf numFmtId="43" fontId="12" fillId="0" borderId="24" xfId="34" applyFont="1" applyBorder="1" applyAlignment="1">
      <alignment/>
    </xf>
    <xf numFmtId="0" fontId="1" fillId="0" borderId="0" xfId="0" applyFont="1" applyBorder="1" applyAlignment="1">
      <alignment/>
    </xf>
    <xf numFmtId="43" fontId="1" fillId="0" borderId="0" xfId="34" applyFont="1" applyAlignment="1">
      <alignment/>
    </xf>
    <xf numFmtId="166" fontId="1" fillId="0" borderId="0" xfId="34" applyNumberFormat="1" applyFont="1" applyAlignment="1">
      <alignment/>
    </xf>
    <xf numFmtId="0" fontId="1" fillId="0" borderId="0" xfId="0" applyFont="1" applyAlignment="1">
      <alignment/>
    </xf>
    <xf numFmtId="44" fontId="4" fillId="0" borderId="0" xfId="0" applyNumberFormat="1" applyFont="1" applyAlignment="1">
      <alignment/>
    </xf>
    <xf numFmtId="49" fontId="14" fillId="0" borderId="0" xfId="38" applyNumberFormat="1" applyFont="1" applyAlignment="1">
      <alignment/>
    </xf>
    <xf numFmtId="49" fontId="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3" fillId="0" borderId="0" xfId="38" applyNumberFormat="1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M4" sqref="M4"/>
    </sheetView>
  </sheetViews>
  <sheetFormatPr defaultColWidth="9.140625" defaultRowHeight="12.75"/>
  <cols>
    <col min="1" max="1" width="11.57421875" style="6" customWidth="1"/>
    <col min="2" max="3" width="8.00390625" style="6" customWidth="1"/>
    <col min="4" max="4" width="10.7109375" style="6" customWidth="1"/>
    <col min="5" max="5" width="33.28125" style="6" customWidth="1"/>
    <col min="6" max="6" width="19.421875" style="6" bestFit="1" customWidth="1"/>
    <col min="7" max="7" width="19.57421875" style="7" bestFit="1" customWidth="1"/>
    <col min="8" max="8" width="9.8515625" style="34" bestFit="1" customWidth="1"/>
    <col min="9" max="9" width="13.57421875" style="71" bestFit="1" customWidth="1"/>
    <col min="10" max="10" width="12.421875" style="72" bestFit="1" customWidth="1"/>
    <col min="11" max="11" width="6.7109375" style="73" bestFit="1" customWidth="1"/>
    <col min="12" max="12" width="12.421875" style="72" bestFit="1" customWidth="1"/>
    <col min="13" max="13" width="9.140625" style="6" customWidth="1"/>
    <col min="14" max="14" width="16.00390625" style="6" bestFit="1" customWidth="1"/>
    <col min="15" max="16384" width="9.140625" style="6" customWidth="1"/>
  </cols>
  <sheetData>
    <row r="1" spans="1:12" s="4" customFormat="1" ht="13.5">
      <c r="A1" s="86" t="s">
        <v>209</v>
      </c>
      <c r="B1" s="86"/>
      <c r="C1" s="86"/>
      <c r="D1" s="86"/>
      <c r="E1" s="86"/>
      <c r="G1" s="5"/>
      <c r="H1" s="35"/>
      <c r="I1" s="71"/>
      <c r="J1" s="72"/>
      <c r="K1" s="73"/>
      <c r="L1" s="72"/>
    </row>
    <row r="2" spans="1:12" s="4" customFormat="1" ht="21">
      <c r="A2" s="87" t="s">
        <v>238</v>
      </c>
      <c r="B2" s="87"/>
      <c r="C2" s="87"/>
      <c r="D2" s="87"/>
      <c r="E2" s="87"/>
      <c r="G2" s="85" t="s">
        <v>243</v>
      </c>
      <c r="H2" s="35"/>
      <c r="I2" s="71"/>
      <c r="J2" s="72"/>
      <c r="K2" s="73"/>
      <c r="L2" s="72"/>
    </row>
    <row r="3" spans="1:12" s="4" customFormat="1" ht="13.5">
      <c r="A3" s="87" t="s">
        <v>210</v>
      </c>
      <c r="B3" s="87"/>
      <c r="C3" s="87"/>
      <c r="D3" s="87"/>
      <c r="E3" s="87"/>
      <c r="G3" s="5" t="s">
        <v>251</v>
      </c>
      <c r="H3" s="36"/>
      <c r="I3" s="71"/>
      <c r="J3" s="72"/>
      <c r="K3" s="73"/>
      <c r="L3" s="72"/>
    </row>
    <row r="4" spans="1:12" s="4" customFormat="1" ht="13.5">
      <c r="A4" s="70" t="s">
        <v>237</v>
      </c>
      <c r="B4" s="70"/>
      <c r="C4" s="70"/>
      <c r="D4" s="70"/>
      <c r="E4" s="70"/>
      <c r="G4" s="5" t="s">
        <v>240</v>
      </c>
      <c r="H4" s="36"/>
      <c r="I4" s="71"/>
      <c r="J4" s="72"/>
      <c r="K4" s="73"/>
      <c r="L4" s="72"/>
    </row>
    <row r="5" spans="1:12" s="4" customFormat="1" ht="21">
      <c r="A5" s="87" t="s">
        <v>211</v>
      </c>
      <c r="B5" s="87"/>
      <c r="C5" s="87"/>
      <c r="D5" s="87"/>
      <c r="E5" s="87"/>
      <c r="F5" s="88" t="s">
        <v>244</v>
      </c>
      <c r="G5" s="88"/>
      <c r="H5" s="35"/>
      <c r="I5" s="71"/>
      <c r="J5" s="72"/>
      <c r="K5" s="73"/>
      <c r="L5" s="72"/>
    </row>
    <row r="6" spans="1:12" s="4" customFormat="1" ht="14.25" thickBot="1">
      <c r="A6" s="4" t="s">
        <v>241</v>
      </c>
      <c r="G6" s="5"/>
      <c r="H6" s="35"/>
      <c r="I6" s="71"/>
      <c r="J6" s="72"/>
      <c r="K6" s="73"/>
      <c r="L6" s="72"/>
    </row>
    <row r="7" spans="1:7" ht="14.25" thickBot="1">
      <c r="A7" s="13"/>
      <c r="B7" s="65"/>
      <c r="C7" s="65"/>
      <c r="D7" s="65"/>
      <c r="E7" s="65"/>
      <c r="F7" s="37" t="s">
        <v>207</v>
      </c>
      <c r="G7" s="14" t="s">
        <v>208</v>
      </c>
    </row>
    <row r="8" spans="1:12" s="8" customFormat="1" ht="13.5">
      <c r="A8" s="11"/>
      <c r="B8" s="67"/>
      <c r="C8" s="67"/>
      <c r="D8" s="67"/>
      <c r="E8" s="75"/>
      <c r="F8" s="38"/>
      <c r="G8" s="12"/>
      <c r="I8" s="71"/>
      <c r="J8" s="71"/>
      <c r="K8" s="74"/>
      <c r="L8" s="71"/>
    </row>
    <row r="9" spans="1:12" s="8" customFormat="1" ht="13.5">
      <c r="A9" s="11" t="s">
        <v>234</v>
      </c>
      <c r="B9" s="67" t="s">
        <v>245</v>
      </c>
      <c r="C9" s="67" t="s">
        <v>249</v>
      </c>
      <c r="D9" s="67"/>
      <c r="E9" s="75" t="s">
        <v>250</v>
      </c>
      <c r="F9" s="38"/>
      <c r="G9" s="12">
        <v>300000</v>
      </c>
      <c r="I9" s="71"/>
      <c r="J9" s="71"/>
      <c r="K9" s="74"/>
      <c r="L9" s="71"/>
    </row>
    <row r="10" spans="1:12" s="8" customFormat="1" ht="13.5">
      <c r="A10" s="11" t="s">
        <v>234</v>
      </c>
      <c r="B10" s="67" t="s">
        <v>245</v>
      </c>
      <c r="C10" s="67" t="s">
        <v>253</v>
      </c>
      <c r="D10" s="67"/>
      <c r="E10" s="75" t="s">
        <v>252</v>
      </c>
      <c r="F10" s="38"/>
      <c r="G10" s="12">
        <v>12200</v>
      </c>
      <c r="I10" s="71"/>
      <c r="J10" s="71"/>
      <c r="K10" s="74"/>
      <c r="L10" s="71"/>
    </row>
    <row r="11" spans="1:12" s="8" customFormat="1" ht="13.5">
      <c r="A11" s="11" t="s">
        <v>234</v>
      </c>
      <c r="B11" s="67"/>
      <c r="C11" s="67" t="s">
        <v>257</v>
      </c>
      <c r="D11" s="67"/>
      <c r="E11" s="75" t="s">
        <v>256</v>
      </c>
      <c r="F11" s="38">
        <v>36000</v>
      </c>
      <c r="G11" s="12"/>
      <c r="I11" s="71"/>
      <c r="J11" s="71"/>
      <c r="K11" s="74"/>
      <c r="L11" s="71"/>
    </row>
    <row r="12" spans="1:12" s="8" customFormat="1" ht="13.5">
      <c r="A12" s="11"/>
      <c r="B12" s="67"/>
      <c r="C12" s="67"/>
      <c r="D12" s="67"/>
      <c r="E12" s="75"/>
      <c r="F12" s="38"/>
      <c r="G12" s="12"/>
      <c r="I12" s="71"/>
      <c r="J12" s="71"/>
      <c r="K12" s="74"/>
      <c r="L12" s="71"/>
    </row>
    <row r="13" spans="1:12" s="8" customFormat="1" ht="13.5">
      <c r="A13" s="11" t="s">
        <v>234</v>
      </c>
      <c r="B13" s="67" t="s">
        <v>258</v>
      </c>
      <c r="C13" s="67" t="s">
        <v>259</v>
      </c>
      <c r="D13" s="67"/>
      <c r="E13" s="75" t="s">
        <v>260</v>
      </c>
      <c r="F13" s="38">
        <v>315000</v>
      </c>
      <c r="G13" s="12"/>
      <c r="I13" s="71"/>
      <c r="J13" s="71"/>
      <c r="K13" s="74"/>
      <c r="L13" s="71"/>
    </row>
    <row r="14" spans="1:12" s="8" customFormat="1" ht="13.5">
      <c r="A14" s="11"/>
      <c r="B14" s="67"/>
      <c r="C14" s="67"/>
      <c r="D14" s="67"/>
      <c r="E14" s="75"/>
      <c r="F14" s="38"/>
      <c r="G14" s="12"/>
      <c r="I14" s="71"/>
      <c r="J14" s="71"/>
      <c r="K14" s="74"/>
      <c r="L14" s="71"/>
    </row>
    <row r="15" spans="1:12" s="8" customFormat="1" ht="13.5">
      <c r="A15" s="11"/>
      <c r="B15" s="67"/>
      <c r="C15" s="67"/>
      <c r="D15" s="67"/>
      <c r="E15" s="75"/>
      <c r="F15" s="38"/>
      <c r="G15" s="12"/>
      <c r="I15" s="71"/>
      <c r="J15" s="71"/>
      <c r="K15" s="74"/>
      <c r="L15" s="71"/>
    </row>
    <row r="16" spans="1:12" s="8" customFormat="1" ht="13.5">
      <c r="A16" s="11" t="s">
        <v>242</v>
      </c>
      <c r="B16" s="67"/>
      <c r="C16" s="67" t="s">
        <v>246</v>
      </c>
      <c r="D16" s="67" t="s">
        <v>247</v>
      </c>
      <c r="E16" s="75" t="s">
        <v>248</v>
      </c>
      <c r="F16" s="38">
        <v>1180000</v>
      </c>
      <c r="G16" s="12"/>
      <c r="I16" s="71"/>
      <c r="J16" s="71"/>
      <c r="K16" s="74"/>
      <c r="L16" s="71"/>
    </row>
    <row r="17" spans="1:12" s="8" customFormat="1" ht="13.5">
      <c r="A17" s="11" t="s">
        <v>242</v>
      </c>
      <c r="B17" s="67"/>
      <c r="C17" s="67" t="s">
        <v>246</v>
      </c>
      <c r="D17" s="67" t="s">
        <v>254</v>
      </c>
      <c r="E17" s="75" t="s">
        <v>255</v>
      </c>
      <c r="F17" s="38">
        <v>31000</v>
      </c>
      <c r="G17" s="12"/>
      <c r="I17" s="71"/>
      <c r="J17" s="71"/>
      <c r="K17" s="74"/>
      <c r="L17" s="71"/>
    </row>
    <row r="18" spans="1:9" ht="13.5">
      <c r="A18" s="11"/>
      <c r="B18" s="67"/>
      <c r="C18" s="67"/>
      <c r="D18" s="67"/>
      <c r="E18" s="75"/>
      <c r="F18" s="38"/>
      <c r="G18" s="12"/>
      <c r="H18" s="8"/>
      <c r="I18" s="72"/>
    </row>
    <row r="19" spans="1:9" ht="13.5">
      <c r="A19" s="11"/>
      <c r="B19" s="67"/>
      <c r="C19" s="67"/>
      <c r="D19" s="67"/>
      <c r="E19" s="75"/>
      <c r="F19" s="38"/>
      <c r="G19" s="12"/>
      <c r="H19" s="8"/>
      <c r="I19" s="72"/>
    </row>
    <row r="20" spans="1:9" ht="13.5">
      <c r="A20" s="11"/>
      <c r="B20" s="67"/>
      <c r="C20" s="67"/>
      <c r="D20" s="67"/>
      <c r="E20" s="75"/>
      <c r="F20" s="38"/>
      <c r="G20" s="12"/>
      <c r="H20" s="8"/>
      <c r="I20" s="72"/>
    </row>
    <row r="21" spans="1:9" ht="13.5">
      <c r="A21" s="11"/>
      <c r="B21" s="67"/>
      <c r="C21" s="67"/>
      <c r="D21" s="67"/>
      <c r="E21" s="75"/>
      <c r="F21" s="38"/>
      <c r="G21" s="12"/>
      <c r="H21" s="8"/>
      <c r="I21" s="72"/>
    </row>
    <row r="22" spans="1:9" ht="14.25" thickBot="1">
      <c r="A22" s="9" t="s">
        <v>234</v>
      </c>
      <c r="B22" s="68"/>
      <c r="C22" s="68" t="s">
        <v>235</v>
      </c>
      <c r="D22" s="68"/>
      <c r="E22" s="9"/>
      <c r="F22" s="39">
        <f>SUM(G8:G20)-SUM(F8:F20)</f>
        <v>-1249800</v>
      </c>
      <c r="G22" s="10"/>
      <c r="H22" s="8"/>
      <c r="I22" s="72"/>
    </row>
    <row r="23" spans="1:12" s="83" customFormat="1" ht="9.75">
      <c r="A23" s="76"/>
      <c r="B23" s="77"/>
      <c r="C23" s="77"/>
      <c r="D23" s="77"/>
      <c r="E23" s="77"/>
      <c r="F23" s="78">
        <f>SUM(F8:F22)</f>
        <v>312200</v>
      </c>
      <c r="G23" s="79">
        <f>SUM(G8:G22)</f>
        <v>312200</v>
      </c>
      <c r="H23" s="80"/>
      <c r="I23" s="81"/>
      <c r="J23" s="81"/>
      <c r="K23" s="82"/>
      <c r="L23" s="81"/>
    </row>
    <row r="24" spans="6:9" ht="13.5">
      <c r="F24" s="33"/>
      <c r="G24" s="6"/>
      <c r="H24" s="8"/>
      <c r="I24" s="72"/>
    </row>
    <row r="25" spans="1:9" ht="13.5">
      <c r="A25" s="69" t="s">
        <v>232</v>
      </c>
      <c r="B25" s="69"/>
      <c r="C25" s="66"/>
      <c r="D25" s="66"/>
      <c r="F25" s="33"/>
      <c r="G25" s="6"/>
      <c r="H25" s="8"/>
      <c r="I25" s="72"/>
    </row>
    <row r="26" spans="1:9" ht="13.5">
      <c r="A26" s="66"/>
      <c r="B26" s="66"/>
      <c r="C26" s="66"/>
      <c r="D26" s="66"/>
      <c r="F26" s="33"/>
      <c r="G26" s="6"/>
      <c r="H26" s="8"/>
      <c r="I26" s="72"/>
    </row>
    <row r="27" spans="1:9" ht="13.5">
      <c r="A27" s="66"/>
      <c r="B27" s="66"/>
      <c r="C27" s="66"/>
      <c r="D27" s="66"/>
      <c r="F27" s="33"/>
      <c r="G27" s="6"/>
      <c r="H27" s="8"/>
      <c r="I27" s="72"/>
    </row>
    <row r="28" spans="1:9" ht="13.5">
      <c r="A28" s="69" t="s">
        <v>233</v>
      </c>
      <c r="B28" s="69"/>
      <c r="C28" s="66"/>
      <c r="D28" s="66"/>
      <c r="F28" s="33"/>
      <c r="G28" s="84"/>
      <c r="H28" s="8"/>
      <c r="I28" s="72"/>
    </row>
    <row r="29" spans="6:9" ht="13.5">
      <c r="F29" s="33"/>
      <c r="G29" s="6"/>
      <c r="H29" s="8"/>
      <c r="I29" s="72"/>
    </row>
    <row r="30" spans="6:9" ht="13.5">
      <c r="F30" s="33"/>
      <c r="G30" s="6"/>
      <c r="H30" s="8"/>
      <c r="I30" s="72"/>
    </row>
    <row r="31" spans="1:9" ht="13.5">
      <c r="A31" s="6" t="s">
        <v>239</v>
      </c>
      <c r="B31" s="6" t="s">
        <v>261</v>
      </c>
      <c r="F31" s="33"/>
      <c r="G31" s="6"/>
      <c r="H31" s="8"/>
      <c r="I31" s="72"/>
    </row>
    <row r="32" spans="1:9" ht="13.5">
      <c r="A32" s="6" t="s">
        <v>236</v>
      </c>
      <c r="F32" s="33"/>
      <c r="G32" s="6"/>
      <c r="H32" s="8"/>
      <c r="I32" s="72"/>
    </row>
    <row r="33" spans="6:9" ht="13.5">
      <c r="F33" s="33"/>
      <c r="G33" s="6"/>
      <c r="H33" s="8"/>
      <c r="I33" s="72"/>
    </row>
    <row r="34" spans="6:9" ht="13.5">
      <c r="F34" s="33"/>
      <c r="G34" s="6"/>
      <c r="H34" s="8"/>
      <c r="I34" s="72"/>
    </row>
    <row r="35" spans="6:9" ht="13.5">
      <c r="F35" s="33"/>
      <c r="G35" s="6"/>
      <c r="H35" s="8"/>
      <c r="I35" s="72"/>
    </row>
    <row r="36" spans="6:7" ht="13.5">
      <c r="F36" s="33"/>
      <c r="G36" s="6"/>
    </row>
    <row r="37" spans="6:7" ht="13.5">
      <c r="F37" s="33"/>
      <c r="G37" s="6"/>
    </row>
    <row r="38" spans="6:7" ht="13.5">
      <c r="F38" s="33"/>
      <c r="G38" s="6"/>
    </row>
    <row r="39" spans="6:7" ht="13.5">
      <c r="F39" s="33"/>
      <c r="G39" s="6"/>
    </row>
  </sheetData>
  <sheetProtection/>
  <mergeCells count="5">
    <mergeCell ref="A1:E1"/>
    <mergeCell ref="A2:E2"/>
    <mergeCell ref="A3:E3"/>
    <mergeCell ref="A5:E5"/>
    <mergeCell ref="F5:G5"/>
  </mergeCells>
  <printOptions gridLines="1"/>
  <pageMargins left="0.11811023622047245" right="0.11811023622047245" top="0.3937007874015748" bottom="0.3937007874015748" header="0.31496062992125984" footer="0.31496062992125984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2"/>
  <sheetViews>
    <sheetView zoomScalePageLayoutView="0" workbookViewId="0" topLeftCell="A257">
      <selection activeCell="D288" sqref="D288"/>
    </sheetView>
  </sheetViews>
  <sheetFormatPr defaultColWidth="9.140625" defaultRowHeight="12.75"/>
  <cols>
    <col min="1" max="1" width="60.57421875" style="0" bestFit="1" customWidth="1"/>
    <col min="2" max="2" width="19.57421875" style="15" bestFit="1" customWidth="1"/>
    <col min="3" max="3" width="20.28125" style="15" bestFit="1" customWidth="1"/>
    <col min="4" max="4" width="16.8515625" style="1" bestFit="1" customWidth="1"/>
    <col min="5" max="5" width="7.57421875" style="0" bestFit="1" customWidth="1"/>
    <col min="6" max="6" width="8.00390625" style="0" bestFit="1" customWidth="1"/>
    <col min="7" max="7" width="1.421875" style="0" customWidth="1"/>
    <col min="8" max="8" width="15.8515625" style="3" bestFit="1" customWidth="1"/>
    <col min="9" max="9" width="17.421875" style="2" customWidth="1"/>
    <col min="10" max="10" width="11.421875" style="0" bestFit="1" customWidth="1"/>
    <col min="11" max="11" width="15.8515625" style="1" bestFit="1" customWidth="1"/>
    <col min="12" max="13" width="15.8515625" style="0" bestFit="1" customWidth="1"/>
  </cols>
  <sheetData>
    <row r="1" spans="1:6" ht="12.75">
      <c r="A1" s="89" t="s">
        <v>212</v>
      </c>
      <c r="B1" s="89"/>
      <c r="C1" s="89"/>
      <c r="D1" s="89"/>
      <c r="E1" s="89"/>
      <c r="F1" s="89"/>
    </row>
    <row r="3" spans="1:11" s="16" customFormat="1" ht="13.5" thickBot="1">
      <c r="A3" s="16" t="s">
        <v>0</v>
      </c>
      <c r="B3" s="17" t="s">
        <v>213</v>
      </c>
      <c r="C3" s="17" t="s">
        <v>214</v>
      </c>
      <c r="D3" s="18" t="s">
        <v>215</v>
      </c>
      <c r="E3" s="18" t="s">
        <v>216</v>
      </c>
      <c r="F3" s="18" t="s">
        <v>217</v>
      </c>
      <c r="H3" s="19"/>
      <c r="I3" s="20"/>
      <c r="K3" s="18"/>
    </row>
    <row r="4" spans="1:8" ht="12.75">
      <c r="A4" t="s">
        <v>1</v>
      </c>
      <c r="B4" s="15" t="str">
        <f>"1.800.000,00"</f>
        <v>1.800.000,00</v>
      </c>
      <c r="C4" s="15" t="str">
        <f>"1.800.000,00"</f>
        <v>1.800.000,00</v>
      </c>
      <c r="D4" s="1">
        <f>132494033/100</f>
        <v>1324940.33</v>
      </c>
      <c r="E4">
        <f>7361/100</f>
        <v>73.61</v>
      </c>
      <c r="F4">
        <f>7361/100</f>
        <v>73.61</v>
      </c>
      <c r="H4" s="3">
        <v>-300000</v>
      </c>
    </row>
    <row r="5" spans="1:8" ht="12.75">
      <c r="A5" t="s">
        <v>2</v>
      </c>
      <c r="B5" s="15" t="str">
        <f>"90.000,00"</f>
        <v>90.000,00</v>
      </c>
      <c r="C5" s="15" t="str">
        <f>"90.000,00"</f>
        <v>90.000,00</v>
      </c>
      <c r="D5" s="1">
        <f>10727522/100</f>
        <v>107275.22</v>
      </c>
      <c r="E5">
        <f>11919/100</f>
        <v>119.19</v>
      </c>
      <c r="F5">
        <f>11919/100</f>
        <v>119.19</v>
      </c>
      <c r="H5" s="3">
        <v>20000</v>
      </c>
    </row>
    <row r="6" spans="1:6" ht="12.75">
      <c r="A6" t="s">
        <v>3</v>
      </c>
      <c r="B6" s="15" t="str">
        <f>"200.000,00"</f>
        <v>200.000,00</v>
      </c>
      <c r="C6" s="15" t="str">
        <f>"200.000,00"</f>
        <v>200.000,00</v>
      </c>
      <c r="D6" s="1">
        <f>13071555/100</f>
        <v>130715.55</v>
      </c>
      <c r="E6">
        <f>6536/100</f>
        <v>65.36</v>
      </c>
      <c r="F6">
        <f>6536/100</f>
        <v>65.36</v>
      </c>
    </row>
    <row r="7" spans="1:6" ht="12.75">
      <c r="A7" t="s">
        <v>4</v>
      </c>
      <c r="B7" s="15" t="str">
        <f>"1.700.000,00"</f>
        <v>1.700.000,00</v>
      </c>
      <c r="C7" s="15" t="str">
        <f>"1.700.000,00"</f>
        <v>1.700.000,00</v>
      </c>
      <c r="D7" s="1">
        <f>155978739/100</f>
        <v>1559787.39</v>
      </c>
      <c r="E7">
        <f>9175/100</f>
        <v>91.75</v>
      </c>
      <c r="F7">
        <f>9175/100</f>
        <v>91.75</v>
      </c>
    </row>
    <row r="8" spans="1:6" ht="12.75">
      <c r="A8" t="s">
        <v>5</v>
      </c>
      <c r="C8" s="15" t="str">
        <f>"83.000,00"</f>
        <v>83.000,00</v>
      </c>
      <c r="D8" s="1">
        <f>8265000/100</f>
        <v>82650</v>
      </c>
      <c r="F8">
        <f>9958/100</f>
        <v>99.58</v>
      </c>
    </row>
    <row r="9" spans="1:8" ht="12.75">
      <c r="A9" t="s">
        <v>6</v>
      </c>
      <c r="B9" s="15" t="str">
        <f>"3.900.000,00"</f>
        <v>3.900.000,00</v>
      </c>
      <c r="C9" s="15" t="str">
        <f>"3.900.000,00"</f>
        <v>3.900.000,00</v>
      </c>
      <c r="D9" s="1">
        <f>314471874/100</f>
        <v>3144718.74</v>
      </c>
      <c r="E9">
        <f>8063/100</f>
        <v>80.63</v>
      </c>
      <c r="F9">
        <f>8063/100</f>
        <v>80.63</v>
      </c>
      <c r="H9" s="3">
        <v>-300000</v>
      </c>
    </row>
    <row r="10" spans="1:6" ht="12.75">
      <c r="A10" t="s">
        <v>7</v>
      </c>
      <c r="B10" s="15" t="str">
        <f>"390.000,00"</f>
        <v>390.000,00</v>
      </c>
      <c r="C10" s="15" t="str">
        <f>"390.000,00"</f>
        <v>390.000,00</v>
      </c>
      <c r="D10" s="1">
        <f>33686900/100</f>
        <v>336869</v>
      </c>
      <c r="E10">
        <f>8638/100</f>
        <v>86.38</v>
      </c>
      <c r="F10">
        <f>8638/100</f>
        <v>86.38</v>
      </c>
    </row>
    <row r="11" spans="1:6" ht="12.75">
      <c r="A11" t="s">
        <v>8</v>
      </c>
      <c r="B11" s="15" t="str">
        <f>"15.000,00"</f>
        <v>15.000,00</v>
      </c>
      <c r="C11" s="15" t="str">
        <f>"15.000,00"</f>
        <v>15.000,00</v>
      </c>
      <c r="D11" s="1">
        <f>1640000/100</f>
        <v>16400</v>
      </c>
      <c r="E11">
        <f>10933/100</f>
        <v>109.33</v>
      </c>
      <c r="F11">
        <f>10933/100</f>
        <v>109.33</v>
      </c>
    </row>
    <row r="12" spans="1:6" ht="12.75">
      <c r="A12" t="s">
        <v>9</v>
      </c>
      <c r="B12" s="15" t="str">
        <f>"10.000,00"</f>
        <v>10.000,00</v>
      </c>
      <c r="C12" s="15" t="str">
        <f>"10.000,00"</f>
        <v>10.000,00</v>
      </c>
      <c r="D12" s="1">
        <f>794000/100</f>
        <v>7940</v>
      </c>
      <c r="E12">
        <f>7940/100</f>
        <v>79.4</v>
      </c>
      <c r="F12">
        <f>7940/100</f>
        <v>79.4</v>
      </c>
    </row>
    <row r="13" spans="1:6" ht="12.75">
      <c r="A13" t="s">
        <v>10</v>
      </c>
      <c r="B13" s="15" t="str">
        <f>"5.000,00"</f>
        <v>5.000,00</v>
      </c>
      <c r="C13" s="15" t="str">
        <f>"5.000,00"</f>
        <v>5.000,00</v>
      </c>
      <c r="D13" s="1">
        <f>411700/100</f>
        <v>4117</v>
      </c>
      <c r="E13">
        <f>8234/100</f>
        <v>82.34</v>
      </c>
      <c r="F13">
        <f>8234/100</f>
        <v>82.34</v>
      </c>
    </row>
    <row r="14" spans="1:6" ht="12.75">
      <c r="A14" t="s">
        <v>11</v>
      </c>
      <c r="B14" s="15" t="str">
        <f>"5.000,00"</f>
        <v>5.000,00</v>
      </c>
      <c r="C14" s="15" t="str">
        <f>"5.000,00"</f>
        <v>5.000,00</v>
      </c>
      <c r="D14" s="1">
        <f>528000/100</f>
        <v>5280</v>
      </c>
      <c r="E14">
        <f>10560/100</f>
        <v>105.6</v>
      </c>
      <c r="F14">
        <f>10560/100</f>
        <v>105.6</v>
      </c>
    </row>
    <row r="15" spans="1:8" ht="12.75">
      <c r="A15" t="s">
        <v>12</v>
      </c>
      <c r="B15" s="15" t="str">
        <f>"820.000,00"</f>
        <v>820.000,00</v>
      </c>
      <c r="C15" s="15" t="str">
        <f>"820.000,00"</f>
        <v>820.000,00</v>
      </c>
      <c r="D15" s="1">
        <f>71174929/100</f>
        <v>711749.29</v>
      </c>
      <c r="E15">
        <f>8680/100</f>
        <v>86.8</v>
      </c>
      <c r="F15">
        <f>8680/100</f>
        <v>86.8</v>
      </c>
      <c r="H15" s="3">
        <v>-60000</v>
      </c>
    </row>
    <row r="16" spans="1:8" ht="12.75">
      <c r="A16" t="s">
        <v>13</v>
      </c>
      <c r="B16" s="15" t="str">
        <f>"122.000,00"</f>
        <v>122.000,00</v>
      </c>
      <c r="C16" s="15" t="str">
        <f>"122.000,00"</f>
        <v>122.000,00</v>
      </c>
      <c r="D16" s="1">
        <f>11375000/100</f>
        <v>113750</v>
      </c>
      <c r="E16">
        <f>9324/100</f>
        <v>93.24</v>
      </c>
      <c r="F16">
        <f>9324/100</f>
        <v>93.24</v>
      </c>
      <c r="H16" s="3">
        <v>-8000</v>
      </c>
    </row>
    <row r="17" spans="1:8" ht="12.75">
      <c r="A17" t="s">
        <v>14</v>
      </c>
      <c r="B17" s="15" t="str">
        <f>"6.000,00"</f>
        <v>6.000,00</v>
      </c>
      <c r="C17" s="21" t="str">
        <f>"6.000,00"</f>
        <v>6.000,00</v>
      </c>
      <c r="D17" s="1">
        <f>800000/100</f>
        <v>8000</v>
      </c>
      <c r="E17">
        <f>13333/100</f>
        <v>133.33</v>
      </c>
      <c r="F17">
        <f>13333/100</f>
        <v>133.33</v>
      </c>
      <c r="H17" s="3">
        <v>2000</v>
      </c>
    </row>
    <row r="18" spans="1:6" ht="12.75">
      <c r="A18" t="s">
        <v>15</v>
      </c>
      <c r="C18" s="15" t="str">
        <f>"5.440,00"</f>
        <v>5.440,00</v>
      </c>
      <c r="D18" s="1">
        <f>544000/100</f>
        <v>5440</v>
      </c>
      <c r="F18">
        <f>10000/100</f>
        <v>100</v>
      </c>
    </row>
    <row r="19" spans="1:6" ht="12.75">
      <c r="A19" t="s">
        <v>16</v>
      </c>
      <c r="B19" s="15" t="str">
        <f>"371.700,00"</f>
        <v>371.700,00</v>
      </c>
      <c r="C19" s="15" t="str">
        <f>"371.700,00"</f>
        <v>371.700,00</v>
      </c>
      <c r="D19" s="1">
        <f>30000000/100</f>
        <v>300000</v>
      </c>
      <c r="E19">
        <f>8071/100</f>
        <v>80.71</v>
      </c>
      <c r="F19">
        <f>8071/100</f>
        <v>80.71</v>
      </c>
    </row>
    <row r="20" spans="1:6" ht="12.75">
      <c r="A20" t="s">
        <v>218</v>
      </c>
      <c r="C20" s="15" t="str">
        <f>"388.170,00"</f>
        <v>388.170,00</v>
      </c>
      <c r="D20" s="1">
        <v>388170</v>
      </c>
      <c r="F20">
        <v>100</v>
      </c>
    </row>
    <row r="21" spans="1:8" ht="12.75">
      <c r="A21" t="s">
        <v>219</v>
      </c>
      <c r="C21" s="21"/>
      <c r="D21" s="1">
        <v>101434</v>
      </c>
      <c r="H21" s="3">
        <v>150000</v>
      </c>
    </row>
    <row r="22" spans="1:4" ht="12.75">
      <c r="A22" t="s">
        <v>17</v>
      </c>
      <c r="D22" s="1">
        <f>65272020/100</f>
        <v>652720.2</v>
      </c>
    </row>
    <row r="23" spans="1:4" ht="12.75">
      <c r="A23" t="s">
        <v>18</v>
      </c>
      <c r="B23" s="15" t="str">
        <f>"30.000,00"</f>
        <v>30.000,00</v>
      </c>
      <c r="C23" s="15" t="str">
        <f>"30.000,00"</f>
        <v>30.000,00</v>
      </c>
      <c r="D23" s="1">
        <f>174202171/100</f>
        <v>1742021.71</v>
      </c>
    </row>
    <row r="24" spans="1:13" ht="12.75">
      <c r="A24" t="s">
        <v>19</v>
      </c>
      <c r="C24" s="15" t="str">
        <f>"100.000,00"</f>
        <v>100.000,00</v>
      </c>
      <c r="D24" s="1">
        <f>10000000/100</f>
        <v>100000</v>
      </c>
      <c r="F24">
        <f>10000/100</f>
        <v>100</v>
      </c>
      <c r="K24" s="15"/>
      <c r="M24" s="22"/>
    </row>
    <row r="25" spans="1:3" ht="12.75">
      <c r="A25" t="s">
        <v>220</v>
      </c>
      <c r="C25" s="15">
        <v>2148000</v>
      </c>
    </row>
    <row r="26" spans="1:4" ht="12.75">
      <c r="A26" t="s">
        <v>221</v>
      </c>
      <c r="C26" s="1">
        <v>3439300</v>
      </c>
      <c r="D26" s="1">
        <v>3439172.76</v>
      </c>
    </row>
    <row r="27" spans="1:13" s="23" customFormat="1" ht="13.5" thickBot="1">
      <c r="A27" s="23" t="s">
        <v>221</v>
      </c>
      <c r="B27" s="24"/>
      <c r="C27" s="25">
        <v>303700</v>
      </c>
      <c r="D27" s="25">
        <v>303456.42</v>
      </c>
      <c r="H27" s="26"/>
      <c r="I27" s="27"/>
      <c r="K27" s="25"/>
      <c r="M27" s="28"/>
    </row>
    <row r="28" spans="1:6" ht="12.75">
      <c r="A28" t="s">
        <v>20</v>
      </c>
      <c r="B28" s="15" t="str">
        <f>"9.464.700,00"</f>
        <v>9.464.700,00</v>
      </c>
      <c r="C28" s="15" t="str">
        <f>"15.932.310,00"</f>
        <v>15.932.310,00</v>
      </c>
      <c r="D28" s="1">
        <f>1458660761/100</f>
        <v>14586607.61</v>
      </c>
      <c r="E28">
        <f>15412/100</f>
        <v>154.12</v>
      </c>
      <c r="F28">
        <f>9155/100</f>
        <v>91.55</v>
      </c>
    </row>
    <row r="30" spans="1:11" s="23" customFormat="1" ht="13.5" thickBot="1">
      <c r="A30" s="23" t="s">
        <v>222</v>
      </c>
      <c r="B30" s="24"/>
      <c r="C30" s="29"/>
      <c r="D30" s="25">
        <f>1000000/100</f>
        <v>10000</v>
      </c>
      <c r="H30" s="26">
        <v>10000</v>
      </c>
      <c r="I30" s="27"/>
      <c r="K30" s="25"/>
    </row>
    <row r="31" spans="1:4" ht="12.75">
      <c r="A31" t="s">
        <v>79</v>
      </c>
      <c r="D31" s="1">
        <f>1000000/100</f>
        <v>10000</v>
      </c>
    </row>
    <row r="33" spans="1:11" s="23" customFormat="1" ht="13.5" thickBot="1">
      <c r="A33" s="23" t="s">
        <v>21</v>
      </c>
      <c r="B33" s="24" t="str">
        <f>"10.000,00"</f>
        <v>10.000,00</v>
      </c>
      <c r="C33" s="24" t="str">
        <f>"10.000,00"</f>
        <v>10.000,00</v>
      </c>
      <c r="D33" s="25">
        <f>754460/100</f>
        <v>7544.6</v>
      </c>
      <c r="E33" s="23">
        <f>7545/100</f>
        <v>75.45</v>
      </c>
      <c r="F33" s="23">
        <f>7545/100</f>
        <v>75.45</v>
      </c>
      <c r="H33" s="26"/>
      <c r="I33" s="27"/>
      <c r="K33" s="25"/>
    </row>
    <row r="34" spans="1:6" ht="12.75">
      <c r="A34" t="s">
        <v>22</v>
      </c>
      <c r="B34" s="15" t="str">
        <f>"10.000,00"</f>
        <v>10.000,00</v>
      </c>
      <c r="C34" s="15" t="str">
        <f>"10.000,00"</f>
        <v>10.000,00</v>
      </c>
      <c r="D34" s="1">
        <f>754460/100</f>
        <v>7544.6</v>
      </c>
      <c r="E34">
        <f>7545/100</f>
        <v>75.45</v>
      </c>
      <c r="F34">
        <f>7545/100</f>
        <v>75.45</v>
      </c>
    </row>
    <row r="36" spans="1:11" s="23" customFormat="1" ht="13.5" thickBot="1">
      <c r="A36" s="23" t="s">
        <v>23</v>
      </c>
      <c r="B36" s="24" t="str">
        <f>"1.000,00"</f>
        <v>1.000,00</v>
      </c>
      <c r="C36" s="24" t="str">
        <f>"1.000,00"</f>
        <v>1.000,00</v>
      </c>
      <c r="D36" s="25">
        <f>46000/100</f>
        <v>460</v>
      </c>
      <c r="E36" s="23">
        <f>4600/100</f>
        <v>46</v>
      </c>
      <c r="F36" s="23">
        <f>4600/100</f>
        <v>46</v>
      </c>
      <c r="H36" s="26"/>
      <c r="I36" s="27"/>
      <c r="K36" s="25"/>
    </row>
    <row r="37" spans="1:6" ht="12.75">
      <c r="A37" t="s">
        <v>24</v>
      </c>
      <c r="B37" s="15" t="str">
        <f>"1.000,00"</f>
        <v>1.000,00</v>
      </c>
      <c r="C37" s="15" t="str">
        <f>"1.000,00"</f>
        <v>1.000,00</v>
      </c>
      <c r="D37" s="1">
        <f>46000/100</f>
        <v>460</v>
      </c>
      <c r="E37">
        <f>4600/100</f>
        <v>46</v>
      </c>
      <c r="F37">
        <f>4600/100</f>
        <v>46</v>
      </c>
    </row>
    <row r="39" spans="1:11" s="23" customFormat="1" ht="13.5" thickBot="1">
      <c r="A39" s="23" t="s">
        <v>25</v>
      </c>
      <c r="B39" s="24" t="str">
        <f>"30.000,00"</f>
        <v>30.000,00</v>
      </c>
      <c r="C39" s="24" t="str">
        <f>"30.000,00"</f>
        <v>30.000,00</v>
      </c>
      <c r="D39" s="25"/>
      <c r="H39" s="26">
        <v>-30000</v>
      </c>
      <c r="I39" s="27"/>
      <c r="K39" s="25"/>
    </row>
    <row r="40" spans="1:3" ht="12.75">
      <c r="A40" t="s">
        <v>26</v>
      </c>
      <c r="B40" s="15" t="str">
        <f>"30.000,00"</f>
        <v>30.000,00</v>
      </c>
      <c r="C40" s="15" t="str">
        <f>"30.000,00"</f>
        <v>30.000,00</v>
      </c>
    </row>
    <row r="42" spans="1:11" s="23" customFormat="1" ht="13.5" thickBot="1">
      <c r="A42" s="23" t="s">
        <v>27</v>
      </c>
      <c r="B42" s="24" t="str">
        <f>"80.000,00"</f>
        <v>80.000,00</v>
      </c>
      <c r="C42" s="24" t="str">
        <f>"30.000,00"</f>
        <v>30.000,00</v>
      </c>
      <c r="D42" s="25">
        <f>1090000/100</f>
        <v>10900</v>
      </c>
      <c r="E42" s="23">
        <f>1363/100</f>
        <v>13.63</v>
      </c>
      <c r="F42" s="23">
        <f>3633/100</f>
        <v>36.33</v>
      </c>
      <c r="H42" s="26"/>
      <c r="I42" s="27"/>
      <c r="K42" s="25"/>
    </row>
    <row r="43" spans="1:6" ht="12.75">
      <c r="A43" t="s">
        <v>28</v>
      </c>
      <c r="B43" s="15" t="str">
        <f>"80.000,00"</f>
        <v>80.000,00</v>
      </c>
      <c r="C43" s="15" t="str">
        <f>"30.000,00"</f>
        <v>30.000,00</v>
      </c>
      <c r="D43" s="1">
        <f>1090000/100</f>
        <v>10900</v>
      </c>
      <c r="E43">
        <f>1363/100</f>
        <v>13.63</v>
      </c>
      <c r="F43">
        <f>3633/100</f>
        <v>36.33</v>
      </c>
    </row>
    <row r="45" spans="1:11" s="23" customFormat="1" ht="13.5" thickBot="1">
      <c r="A45" s="23" t="s">
        <v>29</v>
      </c>
      <c r="B45" s="24"/>
      <c r="C45" s="24" t="str">
        <f>"50.000,00"</f>
        <v>50.000,00</v>
      </c>
      <c r="D45" s="25">
        <f>5333700/100</f>
        <v>53337</v>
      </c>
      <c r="F45" s="23">
        <f>10667/100</f>
        <v>106.67</v>
      </c>
      <c r="H45" s="26"/>
      <c r="I45" s="27"/>
      <c r="K45" s="25"/>
    </row>
    <row r="46" spans="1:6" ht="12.75">
      <c r="A46" t="s">
        <v>30</v>
      </c>
      <c r="C46" s="15" t="str">
        <f>"50.000,00"</f>
        <v>50.000,00</v>
      </c>
      <c r="D46" s="1">
        <f>5333700/100</f>
        <v>53337</v>
      </c>
      <c r="F46">
        <f>10667/100</f>
        <v>106.67</v>
      </c>
    </row>
    <row r="48" spans="1:4" ht="12.75">
      <c r="A48" t="s">
        <v>31</v>
      </c>
      <c r="D48" s="1">
        <f>168000/100</f>
        <v>1680</v>
      </c>
    </row>
    <row r="49" spans="1:11" s="23" customFormat="1" ht="13.5" thickBot="1">
      <c r="A49" s="23" t="s">
        <v>32</v>
      </c>
      <c r="B49" s="24"/>
      <c r="C49" s="24"/>
      <c r="D49" s="25">
        <f>280000/100</f>
        <v>2800</v>
      </c>
      <c r="H49" s="26"/>
      <c r="I49" s="27"/>
      <c r="K49" s="25"/>
    </row>
    <row r="50" spans="1:4" ht="12.75">
      <c r="A50" t="s">
        <v>33</v>
      </c>
      <c r="D50" s="1">
        <f>448000/100</f>
        <v>4480</v>
      </c>
    </row>
    <row r="52" spans="1:11" s="23" customFormat="1" ht="13.5" thickBot="1">
      <c r="A52" s="23" t="s">
        <v>34</v>
      </c>
      <c r="B52" s="24" t="str">
        <f>"50.000,00"</f>
        <v>50.000,00</v>
      </c>
      <c r="C52" s="24" t="str">
        <f>"50.000,00"</f>
        <v>50.000,00</v>
      </c>
      <c r="D52" s="25">
        <f>5949891/100</f>
        <v>59498.91</v>
      </c>
      <c r="E52" s="23">
        <f>11900/100</f>
        <v>119</v>
      </c>
      <c r="F52" s="23">
        <f>11900/100</f>
        <v>119</v>
      </c>
      <c r="H52" s="26">
        <v>15000</v>
      </c>
      <c r="I52" s="27"/>
      <c r="K52" s="25"/>
    </row>
    <row r="53" spans="1:6" ht="12.75">
      <c r="A53" t="s">
        <v>35</v>
      </c>
      <c r="B53" s="15" t="str">
        <f>"50.000,00"</f>
        <v>50.000,00</v>
      </c>
      <c r="C53" s="15" t="str">
        <f>"50.000,00"</f>
        <v>50.000,00</v>
      </c>
      <c r="D53" s="1">
        <f>5949891/100</f>
        <v>59498.91</v>
      </c>
      <c r="E53">
        <f>11900/100</f>
        <v>119</v>
      </c>
      <c r="F53">
        <f>11900/100</f>
        <v>119</v>
      </c>
    </row>
    <row r="55" spans="1:11" s="23" customFormat="1" ht="13.5" thickBot="1">
      <c r="A55" s="23" t="s">
        <v>36</v>
      </c>
      <c r="B55" s="24"/>
      <c r="C55" s="24" t="str">
        <f>"24.886,00"</f>
        <v>24.886,00</v>
      </c>
      <c r="D55" s="25">
        <f>2488600/100</f>
        <v>24886</v>
      </c>
      <c r="F55" s="23">
        <f>10000/100</f>
        <v>100</v>
      </c>
      <c r="H55" s="26"/>
      <c r="I55" s="27"/>
      <c r="K55" s="25"/>
    </row>
    <row r="56" spans="1:6" ht="12.75">
      <c r="A56" t="s">
        <v>37</v>
      </c>
      <c r="C56" s="15" t="str">
        <f>"24.886,00"</f>
        <v>24.886,00</v>
      </c>
      <c r="D56" s="1">
        <f>2488600/100</f>
        <v>24886</v>
      </c>
      <c r="F56">
        <f>10000/100</f>
        <v>100</v>
      </c>
    </row>
    <row r="58" spans="1:11" s="50" customFormat="1" ht="13.5" thickBot="1">
      <c r="A58" s="50" t="s">
        <v>38</v>
      </c>
      <c r="B58" s="51" t="str">
        <f>"9.635.700,00"</f>
        <v>9.635.700,00</v>
      </c>
      <c r="C58" s="51" t="str">
        <f>"16.128.196,00"</f>
        <v>16.128.196,00</v>
      </c>
      <c r="D58" s="52">
        <f>1475771412/100</f>
        <v>14757714.12</v>
      </c>
      <c r="E58" s="50">
        <f>15316/100</f>
        <v>153.16</v>
      </c>
      <c r="F58" s="50">
        <f>9150/100</f>
        <v>91.5</v>
      </c>
      <c r="H58" s="53">
        <f>SUM(H4:H52)</f>
        <v>-501000</v>
      </c>
      <c r="I58" s="54"/>
      <c r="K58" s="52"/>
    </row>
    <row r="60" spans="1:11" s="30" customFormat="1" ht="13.5" thickBot="1">
      <c r="A60" s="30" t="s">
        <v>39</v>
      </c>
      <c r="B60" s="31" t="s">
        <v>213</v>
      </c>
      <c r="C60" s="31" t="s">
        <v>214</v>
      </c>
      <c r="D60" s="32" t="s">
        <v>215</v>
      </c>
      <c r="E60" s="32" t="s">
        <v>216</v>
      </c>
      <c r="F60" s="32" t="s">
        <v>217</v>
      </c>
      <c r="H60" s="32"/>
      <c r="I60" s="32"/>
      <c r="K60" s="32"/>
    </row>
    <row r="61" spans="1:9" ht="12.75">
      <c r="A61" t="s">
        <v>223</v>
      </c>
      <c r="D61" s="1">
        <f>116600/100</f>
        <v>1166</v>
      </c>
      <c r="I61" s="2">
        <v>1000</v>
      </c>
    </row>
    <row r="62" spans="1:6" ht="12.75">
      <c r="A62" t="s">
        <v>40</v>
      </c>
      <c r="B62" s="15" t="str">
        <f>"100.000,00"</f>
        <v>100.000,00</v>
      </c>
      <c r="C62" s="15" t="str">
        <f>"100.000,00"</f>
        <v>100.000,00</v>
      </c>
      <c r="D62" s="1">
        <f>319700/100</f>
        <v>3197</v>
      </c>
      <c r="E62">
        <f>320/100</f>
        <v>3.2</v>
      </c>
      <c r="F62">
        <f>320/100</f>
        <v>3.2</v>
      </c>
    </row>
    <row r="63" spans="1:10" ht="12.75">
      <c r="A63" t="s">
        <v>41</v>
      </c>
      <c r="B63" s="15" t="str">
        <f>"365.000,00"</f>
        <v>365.000,00</v>
      </c>
      <c r="C63" s="15" t="str">
        <f>"365.000,00"</f>
        <v>365.000,00</v>
      </c>
      <c r="D63" s="1">
        <f>15241300/100</f>
        <v>152413</v>
      </c>
      <c r="E63">
        <f>4176/100</f>
        <v>41.76</v>
      </c>
      <c r="F63">
        <f>4176/100</f>
        <v>41.76</v>
      </c>
      <c r="J63" s="22"/>
    </row>
    <row r="64" spans="1:12" ht="12.75">
      <c r="A64" t="s">
        <v>42</v>
      </c>
      <c r="B64" s="15" t="str">
        <f>"950.000,00"</f>
        <v>950.000,00</v>
      </c>
      <c r="C64" s="15">
        <v>1158000</v>
      </c>
      <c r="D64" s="1">
        <f>30596760/100</f>
        <v>305967.6</v>
      </c>
      <c r="E64">
        <f>3221/100</f>
        <v>32.21</v>
      </c>
      <c r="F64">
        <f>2029/100</f>
        <v>20.29</v>
      </c>
      <c r="I64" s="2">
        <v>-500000</v>
      </c>
      <c r="L64" s="22"/>
    </row>
    <row r="65" spans="1:12" ht="12.75">
      <c r="A65" t="s">
        <v>224</v>
      </c>
      <c r="C65" s="15">
        <v>350000</v>
      </c>
      <c r="I65" s="2">
        <v>-150000</v>
      </c>
      <c r="L65" s="22"/>
    </row>
    <row r="66" spans="1:12" ht="12.75">
      <c r="A66" t="s">
        <v>225</v>
      </c>
      <c r="D66" s="1">
        <f>25000/100</f>
        <v>250</v>
      </c>
      <c r="L66" s="22"/>
    </row>
    <row r="67" spans="1:3" ht="12.75">
      <c r="A67" t="s">
        <v>43</v>
      </c>
      <c r="B67" s="15" t="str">
        <f>"3.000,00"</f>
        <v>3.000,00</v>
      </c>
      <c r="C67" s="15" t="str">
        <f>"3.000,00"</f>
        <v>3.000,00</v>
      </c>
    </row>
    <row r="68" spans="1:12" ht="12.75">
      <c r="A68" t="s">
        <v>44</v>
      </c>
      <c r="B68" s="15" t="str">
        <f>"1.546.800,00"</f>
        <v>1.546.800,00</v>
      </c>
      <c r="C68" s="15">
        <v>4476800</v>
      </c>
      <c r="D68" s="1">
        <f>290987840/100</f>
        <v>2909878.4</v>
      </c>
      <c r="E68">
        <f>18812/100</f>
        <v>188.12</v>
      </c>
      <c r="F68">
        <f>6500/100</f>
        <v>65</v>
      </c>
      <c r="I68" s="2">
        <v>1730000</v>
      </c>
      <c r="L68" s="22"/>
    </row>
    <row r="69" spans="1:11" s="23" customFormat="1" ht="13.5" thickBot="1">
      <c r="A69" s="23" t="s">
        <v>45</v>
      </c>
      <c r="B69" s="24" t="str">
        <f>"25.000,00"</f>
        <v>25.000,00</v>
      </c>
      <c r="C69" s="24" t="str">
        <f>"25.000,00"</f>
        <v>25.000,00</v>
      </c>
      <c r="D69" s="25"/>
      <c r="H69" s="26"/>
      <c r="I69" s="27"/>
      <c r="K69" s="25"/>
    </row>
    <row r="70" spans="1:6" ht="12.75">
      <c r="A70" t="s">
        <v>46</v>
      </c>
      <c r="B70" s="15" t="str">
        <f>"2.989.800,00"</f>
        <v>2.989.800,00</v>
      </c>
      <c r="C70" s="15" t="str">
        <f>"6.477.800,00"</f>
        <v>6.477.800,00</v>
      </c>
      <c r="D70" s="1">
        <f>337287200/100</f>
        <v>3372872</v>
      </c>
      <c r="E70">
        <f>11281/100</f>
        <v>112.81</v>
      </c>
      <c r="F70">
        <f>5207/100</f>
        <v>52.07</v>
      </c>
    </row>
    <row r="71" ht="12.75">
      <c r="L71" s="1"/>
    </row>
    <row r="72" spans="1:11" s="23" customFormat="1" ht="13.5" thickBot="1">
      <c r="A72" s="23" t="s">
        <v>47</v>
      </c>
      <c r="B72" s="24"/>
      <c r="C72" s="24" t="str">
        <f>"20.000,00"</f>
        <v>20.000,00</v>
      </c>
      <c r="D72" s="25">
        <f>1920000/100</f>
        <v>19200</v>
      </c>
      <c r="F72" s="23">
        <f>9600/100</f>
        <v>96</v>
      </c>
      <c r="H72" s="26"/>
      <c r="I72" s="27"/>
      <c r="K72" s="25"/>
    </row>
    <row r="73" spans="1:6" ht="12.75">
      <c r="A73" t="s">
        <v>48</v>
      </c>
      <c r="C73" s="15" t="str">
        <f>"20.000,00"</f>
        <v>20.000,00</v>
      </c>
      <c r="D73" s="1">
        <f>1920000/100</f>
        <v>19200</v>
      </c>
      <c r="F73">
        <f>9600/100</f>
        <v>96</v>
      </c>
    </row>
    <row r="75" spans="1:9" ht="12.75">
      <c r="A75" t="s">
        <v>49</v>
      </c>
      <c r="B75" s="15" t="str">
        <f>"20.000,00"</f>
        <v>20.000,00</v>
      </c>
      <c r="C75" s="15" t="str">
        <f>"20.000,00"</f>
        <v>20.000,00</v>
      </c>
      <c r="I75" s="2">
        <v>-20000</v>
      </c>
    </row>
    <row r="76" spans="1:11" s="23" customFormat="1" ht="13.5" thickBot="1">
      <c r="A76" s="23" t="s">
        <v>50</v>
      </c>
      <c r="B76" s="24" t="str">
        <f>"200.000,00"</f>
        <v>200.000,00</v>
      </c>
      <c r="C76" s="24" t="str">
        <f>"200.000,00"</f>
        <v>200.000,00</v>
      </c>
      <c r="D76" s="25">
        <f>5097600/100</f>
        <v>50976</v>
      </c>
      <c r="E76" s="23">
        <f>2549/100</f>
        <v>25.49</v>
      </c>
      <c r="F76" s="23">
        <f>2549/100</f>
        <v>25.49</v>
      </c>
      <c r="H76" s="26"/>
      <c r="I76" s="27">
        <v>-145000</v>
      </c>
      <c r="K76" s="25"/>
    </row>
    <row r="77" spans="1:6" ht="12.75">
      <c r="A77" t="s">
        <v>51</v>
      </c>
      <c r="B77" s="15" t="str">
        <f>"220.000,00"</f>
        <v>220.000,00</v>
      </c>
      <c r="C77" s="15" t="str">
        <f>"220.000,00"</f>
        <v>220.000,00</v>
      </c>
      <c r="D77" s="1">
        <f>5097600/100</f>
        <v>50976</v>
      </c>
      <c r="E77">
        <f>2317/100</f>
        <v>23.17</v>
      </c>
      <c r="F77">
        <f>2317/100</f>
        <v>23.17</v>
      </c>
    </row>
    <row r="79" spans="1:11" s="23" customFormat="1" ht="13.5" thickBot="1">
      <c r="A79" s="23" t="s">
        <v>52</v>
      </c>
      <c r="B79" s="24" t="str">
        <f>"10.000,00"</f>
        <v>10.000,00</v>
      </c>
      <c r="C79" s="24" t="str">
        <f>"10.000,00"</f>
        <v>10.000,00</v>
      </c>
      <c r="D79" s="25">
        <f>397560/100</f>
        <v>3975.6</v>
      </c>
      <c r="E79" s="23">
        <f>3976/100</f>
        <v>39.76</v>
      </c>
      <c r="F79" s="23">
        <f>3976/100</f>
        <v>39.76</v>
      </c>
      <c r="H79" s="26"/>
      <c r="I79" s="27"/>
      <c r="K79" s="25"/>
    </row>
    <row r="80" spans="1:6" ht="12.75">
      <c r="A80" t="s">
        <v>53</v>
      </c>
      <c r="B80" s="15" t="str">
        <f>"10.000,00"</f>
        <v>10.000,00</v>
      </c>
      <c r="C80" s="15" t="str">
        <f>"10.000,00"</f>
        <v>10.000,00</v>
      </c>
      <c r="D80" s="1">
        <f>397560/100</f>
        <v>3975.6</v>
      </c>
      <c r="E80">
        <f>3976/100</f>
        <v>39.76</v>
      </c>
      <c r="F80">
        <f>3976/100</f>
        <v>39.76</v>
      </c>
    </row>
    <row r="82" spans="1:6" ht="12.75">
      <c r="A82" t="s">
        <v>54</v>
      </c>
      <c r="B82" s="15" t="str">
        <f>"9.000,00"</f>
        <v>9.000,00</v>
      </c>
      <c r="C82" s="15" t="str">
        <f>"9.000,00"</f>
        <v>9.000,00</v>
      </c>
      <c r="D82" s="1">
        <f>813500/100</f>
        <v>8135</v>
      </c>
      <c r="E82">
        <f>9039/100</f>
        <v>90.39</v>
      </c>
      <c r="F82">
        <f>9039/100</f>
        <v>90.39</v>
      </c>
    </row>
    <row r="83" spans="1:6" ht="12.75">
      <c r="A83" t="s">
        <v>55</v>
      </c>
      <c r="B83" s="15" t="str">
        <f>"1.722.800,00"</f>
        <v>1.722.800,00</v>
      </c>
      <c r="C83" s="15" t="str">
        <f>"1.722.800,00"</f>
        <v>1.722.800,00</v>
      </c>
      <c r="D83" s="1">
        <f>172200000/100</f>
        <v>1722000</v>
      </c>
      <c r="E83">
        <f>9995/100</f>
        <v>99.95</v>
      </c>
      <c r="F83">
        <f>9995/100</f>
        <v>99.95</v>
      </c>
    </row>
    <row r="84" spans="1:11" s="23" customFormat="1" ht="13.5" thickBot="1">
      <c r="A84" s="23" t="s">
        <v>56</v>
      </c>
      <c r="B84" s="24"/>
      <c r="C84" s="24" t="str">
        <f>"388.170,00"</f>
        <v>388.170,00</v>
      </c>
      <c r="D84" s="25">
        <f>38817000/100</f>
        <v>388170</v>
      </c>
      <c r="F84" s="23">
        <f>10000/100</f>
        <v>100</v>
      </c>
      <c r="H84" s="26"/>
      <c r="I84" s="27"/>
      <c r="K84" s="25"/>
    </row>
    <row r="85" spans="1:6" ht="12.75">
      <c r="A85" t="s">
        <v>57</v>
      </c>
      <c r="B85" s="15" t="str">
        <f>"1.731.800,00"</f>
        <v>1.731.800,00</v>
      </c>
      <c r="C85" s="15" t="str">
        <f>"2.119.970,00"</f>
        <v>2.119.970,00</v>
      </c>
      <c r="D85" s="1">
        <f>211830500/100</f>
        <v>2118305</v>
      </c>
      <c r="E85">
        <f>12232/100</f>
        <v>122.32</v>
      </c>
      <c r="F85">
        <f>9992/100</f>
        <v>99.92</v>
      </c>
    </row>
    <row r="87" spans="1:6" ht="12.75">
      <c r="A87" t="s">
        <v>58</v>
      </c>
      <c r="B87" s="15" t="str">
        <f>"11.000,00"</f>
        <v>11.000,00</v>
      </c>
      <c r="C87" s="15" t="str">
        <f>"11.000,00"</f>
        <v>11.000,00</v>
      </c>
      <c r="D87" s="1">
        <f>748000/100</f>
        <v>7480</v>
      </c>
      <c r="E87">
        <f>6800/100</f>
        <v>68</v>
      </c>
      <c r="F87">
        <f>6800/100</f>
        <v>68</v>
      </c>
    </row>
    <row r="88" spans="1:6" ht="12.75">
      <c r="A88" t="s">
        <v>59</v>
      </c>
      <c r="B88" s="15" t="str">
        <f>"3.000,00"</f>
        <v>3.000,00</v>
      </c>
      <c r="C88" s="15" t="str">
        <f>"3.000,00"</f>
        <v>3.000,00</v>
      </c>
      <c r="D88" s="1">
        <f>105600/100</f>
        <v>1056</v>
      </c>
      <c r="E88">
        <f>3520/100</f>
        <v>35.2</v>
      </c>
      <c r="F88">
        <f>3520/100</f>
        <v>35.2</v>
      </c>
    </row>
    <row r="89" spans="1:9" ht="12.75">
      <c r="A89" t="s">
        <v>60</v>
      </c>
      <c r="B89" s="15" t="str">
        <f>"2.500,00"</f>
        <v>2.500,00</v>
      </c>
      <c r="C89" s="15" t="str">
        <f>"2.500,00"</f>
        <v>2.500,00</v>
      </c>
      <c r="I89" s="2">
        <v>-2500</v>
      </c>
    </row>
    <row r="90" spans="1:6" ht="12.75">
      <c r="A90" t="s">
        <v>61</v>
      </c>
      <c r="B90" s="15" t="str">
        <f>"1.500,00"</f>
        <v>1.500,00</v>
      </c>
      <c r="C90" s="15" t="str">
        <f>"1.500,00"</f>
        <v>1.500,00</v>
      </c>
      <c r="D90" s="1">
        <f>130600/100</f>
        <v>1306</v>
      </c>
      <c r="E90">
        <f>8707/100</f>
        <v>87.07</v>
      </c>
      <c r="F90">
        <f>8707/100</f>
        <v>87.07</v>
      </c>
    </row>
    <row r="91" spans="1:6" ht="12.75">
      <c r="A91" t="s">
        <v>62</v>
      </c>
      <c r="B91" s="15" t="str">
        <f>"38.500,00"</f>
        <v>38.500,00</v>
      </c>
      <c r="C91" s="15" t="str">
        <f>"38.500,00"</f>
        <v>38.500,00</v>
      </c>
      <c r="D91" s="1">
        <f>3702200/100</f>
        <v>37022</v>
      </c>
      <c r="E91">
        <f>9616/100</f>
        <v>96.16</v>
      </c>
      <c r="F91">
        <f>9616/100</f>
        <v>96.16</v>
      </c>
    </row>
    <row r="92" spans="1:6" ht="12.75">
      <c r="A92" t="s">
        <v>63</v>
      </c>
      <c r="B92" s="15" t="str">
        <f>"5.000,00"</f>
        <v>5.000,00</v>
      </c>
      <c r="C92" s="15" t="str">
        <f>"5.000,00"</f>
        <v>5.000,00</v>
      </c>
      <c r="D92" s="1">
        <f>280000/100</f>
        <v>2800</v>
      </c>
      <c r="E92">
        <f>5600/100</f>
        <v>56</v>
      </c>
      <c r="F92">
        <f>5600/100</f>
        <v>56</v>
      </c>
    </row>
    <row r="93" spans="1:9" ht="12.75">
      <c r="A93" t="s">
        <v>64</v>
      </c>
      <c r="B93" s="15" t="str">
        <f>"5.000,00"</f>
        <v>5.000,00</v>
      </c>
      <c r="C93" s="15" t="str">
        <f>"5.000,00"</f>
        <v>5.000,00</v>
      </c>
      <c r="I93" s="2">
        <v>-4000</v>
      </c>
    </row>
    <row r="94" spans="1:9" ht="12.75">
      <c r="A94" t="s">
        <v>65</v>
      </c>
      <c r="B94" s="15" t="str">
        <f>"1.000,00"</f>
        <v>1.000,00</v>
      </c>
      <c r="C94" s="15" t="str">
        <f>"1.000,00"</f>
        <v>1.000,00</v>
      </c>
      <c r="I94" s="2">
        <v>-1000</v>
      </c>
    </row>
    <row r="95" spans="1:11" s="23" customFormat="1" ht="13.5" thickBot="1">
      <c r="A95" s="23" t="s">
        <v>66</v>
      </c>
      <c r="B95" s="24"/>
      <c r="C95" s="24"/>
      <c r="D95" s="25">
        <f>500000/100</f>
        <v>5000</v>
      </c>
      <c r="H95" s="26"/>
      <c r="I95" s="27">
        <v>5000</v>
      </c>
      <c r="K95" s="25"/>
    </row>
    <row r="96" spans="1:6" ht="12.75">
      <c r="A96" t="s">
        <v>67</v>
      </c>
      <c r="B96" s="15" t="str">
        <f>"67.500,00"</f>
        <v>67.500,00</v>
      </c>
      <c r="C96" s="15" t="str">
        <f>"67.500,00"</f>
        <v>67.500,00</v>
      </c>
      <c r="D96" s="1">
        <f>5466400/100</f>
        <v>54664</v>
      </c>
      <c r="E96">
        <f>8098/100</f>
        <v>80.98</v>
      </c>
      <c r="F96">
        <f>8098/100</f>
        <v>80.98</v>
      </c>
    </row>
    <row r="98" spans="1:6" ht="12.75">
      <c r="A98" t="s">
        <v>68</v>
      </c>
      <c r="B98" s="15" t="str">
        <f aca="true" t="shared" si="0" ref="B98:C100">"5.000,00"</f>
        <v>5.000,00</v>
      </c>
      <c r="C98" s="15" t="str">
        <f t="shared" si="0"/>
        <v>5.000,00</v>
      </c>
      <c r="D98" s="1">
        <f>4600/100</f>
        <v>46</v>
      </c>
      <c r="E98">
        <f>92/100</f>
        <v>0.92</v>
      </c>
      <c r="F98">
        <f>92/100</f>
        <v>0.92</v>
      </c>
    </row>
    <row r="99" spans="1:9" ht="12.75">
      <c r="A99" t="s">
        <v>69</v>
      </c>
      <c r="B99" s="15" t="str">
        <f t="shared" si="0"/>
        <v>5.000,00</v>
      </c>
      <c r="C99" s="15" t="str">
        <f t="shared" si="0"/>
        <v>5.000,00</v>
      </c>
      <c r="I99" s="2">
        <v>-5000</v>
      </c>
    </row>
    <row r="100" spans="1:11" s="23" customFormat="1" ht="13.5" thickBot="1">
      <c r="A100" s="23" t="s">
        <v>70</v>
      </c>
      <c r="B100" s="24" t="str">
        <f t="shared" si="0"/>
        <v>5.000,00</v>
      </c>
      <c r="C100" s="24" t="str">
        <f t="shared" si="0"/>
        <v>5.000,00</v>
      </c>
      <c r="D100" s="25">
        <f>133800/100</f>
        <v>1338</v>
      </c>
      <c r="E100" s="23">
        <f>2676/100</f>
        <v>26.76</v>
      </c>
      <c r="F100" s="23">
        <f>2676/100</f>
        <v>26.76</v>
      </c>
      <c r="H100" s="26"/>
      <c r="I100" s="27"/>
      <c r="K100" s="25"/>
    </row>
    <row r="101" spans="1:6" ht="12.75">
      <c r="A101" t="s">
        <v>71</v>
      </c>
      <c r="B101" s="15" t="str">
        <f>"15.000,00"</f>
        <v>15.000,00</v>
      </c>
      <c r="C101" s="15" t="str">
        <f>"15.000,00"</f>
        <v>15.000,00</v>
      </c>
      <c r="D101" s="1">
        <f>138400/100</f>
        <v>1384</v>
      </c>
      <c r="E101">
        <f>923/100</f>
        <v>9.23</v>
      </c>
      <c r="F101">
        <f>923/100</f>
        <v>9.23</v>
      </c>
    </row>
    <row r="103" spans="1:9" ht="12.75">
      <c r="A103" t="s">
        <v>72</v>
      </c>
      <c r="B103" s="15" t="str">
        <f>"10.000,00"</f>
        <v>10.000,00</v>
      </c>
      <c r="C103" s="15" t="str">
        <f>"10.000,00"</f>
        <v>10.000,00</v>
      </c>
      <c r="D103" s="1">
        <f>1242000/100</f>
        <v>12420</v>
      </c>
      <c r="E103">
        <f>12420/100</f>
        <v>124.2</v>
      </c>
      <c r="F103">
        <f>12420/100</f>
        <v>124.2</v>
      </c>
      <c r="I103" s="2">
        <v>5000</v>
      </c>
    </row>
    <row r="104" spans="1:9" ht="12.75">
      <c r="A104" t="s">
        <v>73</v>
      </c>
      <c r="D104" s="1">
        <f>79000/100</f>
        <v>790</v>
      </c>
      <c r="I104" s="2">
        <v>1000</v>
      </c>
    </row>
    <row r="105" spans="1:11" s="23" customFormat="1" ht="13.5" thickBot="1">
      <c r="A105" s="23" t="s">
        <v>74</v>
      </c>
      <c r="B105" s="24" t="str">
        <f>"3.000,00"</f>
        <v>3.000,00</v>
      </c>
      <c r="C105" s="24" t="str">
        <f>"3.000,00"</f>
        <v>3.000,00</v>
      </c>
      <c r="D105" s="25">
        <f>53700/100</f>
        <v>537</v>
      </c>
      <c r="E105" s="23">
        <f>1790/100</f>
        <v>17.9</v>
      </c>
      <c r="F105" s="23">
        <f>1790/100</f>
        <v>17.9</v>
      </c>
      <c r="H105" s="26"/>
      <c r="I105" s="27">
        <v>-1000</v>
      </c>
      <c r="K105" s="25"/>
    </row>
    <row r="106" spans="1:6" ht="12.75">
      <c r="A106" t="s">
        <v>75</v>
      </c>
      <c r="B106" s="15" t="str">
        <f>"13.000,00"</f>
        <v>13.000,00</v>
      </c>
      <c r="C106" s="15" t="str">
        <f>"13.000,00"</f>
        <v>13.000,00</v>
      </c>
      <c r="D106" s="1">
        <f>1374700/100</f>
        <v>13747</v>
      </c>
      <c r="E106">
        <f>10575/100</f>
        <v>105.75</v>
      </c>
      <c r="F106">
        <f>10575/100</f>
        <v>105.75</v>
      </c>
    </row>
    <row r="108" spans="1:6" ht="12.75">
      <c r="A108" t="s">
        <v>76</v>
      </c>
      <c r="C108" s="15" t="str">
        <f>"10.000,00"</f>
        <v>10.000,00</v>
      </c>
      <c r="D108" s="1">
        <f>907600/100</f>
        <v>9076</v>
      </c>
      <c r="F108">
        <f>9076/100</f>
        <v>90.76</v>
      </c>
    </row>
    <row r="109" spans="1:9" ht="12.75">
      <c r="A109" t="s">
        <v>77</v>
      </c>
      <c r="D109" s="1">
        <f>128000/100</f>
        <v>1280</v>
      </c>
      <c r="I109" s="2">
        <v>2000</v>
      </c>
    </row>
    <row r="110" spans="1:9" ht="12.75">
      <c r="A110" t="s">
        <v>78</v>
      </c>
      <c r="B110" s="15" t="str">
        <f>"280.000,00"</f>
        <v>280.000,00</v>
      </c>
      <c r="C110" s="15" t="str">
        <f>"280.000,00"</f>
        <v>280.000,00</v>
      </c>
      <c r="D110" s="1">
        <f>18195000/100</f>
        <v>181950</v>
      </c>
      <c r="E110">
        <f>6498/100</f>
        <v>64.98</v>
      </c>
      <c r="F110">
        <f>6498/100</f>
        <v>64.98</v>
      </c>
      <c r="I110" s="2">
        <v>-90000</v>
      </c>
    </row>
    <row r="111" spans="1:11" s="23" customFormat="1" ht="13.5" thickBot="1">
      <c r="A111" s="23" t="s">
        <v>226</v>
      </c>
      <c r="B111" s="24"/>
      <c r="C111" s="24"/>
      <c r="D111" s="25">
        <f>3000000/100</f>
        <v>30000</v>
      </c>
      <c r="H111" s="26"/>
      <c r="I111" s="27">
        <v>30000</v>
      </c>
      <c r="K111" s="25"/>
    </row>
    <row r="112" spans="1:6" ht="12.75">
      <c r="A112" t="s">
        <v>79</v>
      </c>
      <c r="B112" s="15" t="str">
        <f>"280.000,00"</f>
        <v>280.000,00</v>
      </c>
      <c r="C112" s="15" t="str">
        <f>"290.000,00"</f>
        <v>290.000,00</v>
      </c>
      <c r="D112" s="1">
        <f>22230600/100</f>
        <v>222306</v>
      </c>
      <c r="E112">
        <f>7940/100</f>
        <v>79.4</v>
      </c>
      <c r="F112">
        <f>7666/100</f>
        <v>76.66</v>
      </c>
    </row>
    <row r="114" spans="1:9" ht="12.75">
      <c r="A114" t="s">
        <v>80</v>
      </c>
      <c r="B114" s="15" t="str">
        <f>"2.000,00"</f>
        <v>2.000,00</v>
      </c>
      <c r="C114" s="15" t="str">
        <f>"2.000,00"</f>
        <v>2.000,00</v>
      </c>
      <c r="I114" s="2">
        <v>-2000</v>
      </c>
    </row>
    <row r="115" spans="1:9" ht="12.75">
      <c r="A115" t="s">
        <v>81</v>
      </c>
      <c r="D115" s="1">
        <f>90600/100</f>
        <v>906</v>
      </c>
      <c r="I115" s="2">
        <v>1000</v>
      </c>
    </row>
    <row r="116" spans="1:11" s="23" customFormat="1" ht="13.5" thickBot="1">
      <c r="A116" s="23" t="s">
        <v>82</v>
      </c>
      <c r="B116" s="24" t="str">
        <f>"5.000,00"</f>
        <v>5.000,00</v>
      </c>
      <c r="C116" s="24" t="str">
        <f>"5.000,00"</f>
        <v>5.000,00</v>
      </c>
      <c r="D116" s="25"/>
      <c r="H116" s="26"/>
      <c r="I116" s="27">
        <v>-5000</v>
      </c>
      <c r="K116" s="25"/>
    </row>
    <row r="117" spans="1:6" ht="12.75">
      <c r="A117" t="s">
        <v>83</v>
      </c>
      <c r="B117" s="15" t="str">
        <f>"7.000,00"</f>
        <v>7.000,00</v>
      </c>
      <c r="C117" s="15" t="str">
        <f>"7.000,00"</f>
        <v>7.000,00</v>
      </c>
      <c r="D117" s="1">
        <f>90600/100</f>
        <v>906</v>
      </c>
      <c r="E117">
        <f>1294/100</f>
        <v>12.94</v>
      </c>
      <c r="F117">
        <f>1294/100</f>
        <v>12.94</v>
      </c>
    </row>
    <row r="119" spans="1:11" s="23" customFormat="1" ht="13.5" thickBot="1">
      <c r="A119" s="23" t="s">
        <v>84</v>
      </c>
      <c r="B119" s="24" t="str">
        <f>"35.000,00"</f>
        <v>35.000,00</v>
      </c>
      <c r="C119" s="24" t="str">
        <f>"35.000,00"</f>
        <v>35.000,00</v>
      </c>
      <c r="D119" s="25">
        <f>2585000/100</f>
        <v>25850</v>
      </c>
      <c r="E119" s="23">
        <f>7386/100</f>
        <v>73.86</v>
      </c>
      <c r="F119" s="23">
        <f>7386/100</f>
        <v>73.86</v>
      </c>
      <c r="H119" s="26"/>
      <c r="I119" s="27"/>
      <c r="K119" s="25"/>
    </row>
    <row r="120" spans="1:6" ht="12.75">
      <c r="A120" t="s">
        <v>22</v>
      </c>
      <c r="B120" s="15" t="str">
        <f>"35.000,00"</f>
        <v>35.000,00</v>
      </c>
      <c r="C120" s="15" t="str">
        <f>"35.000,00"</f>
        <v>35.000,00</v>
      </c>
      <c r="D120" s="1">
        <f>2585000/100</f>
        <v>25850</v>
      </c>
      <c r="E120">
        <f>7386/100</f>
        <v>73.86</v>
      </c>
      <c r="F120">
        <f>7386/100</f>
        <v>73.86</v>
      </c>
    </row>
    <row r="122" spans="1:9" ht="12.75">
      <c r="A122" t="s">
        <v>85</v>
      </c>
      <c r="B122" s="15" t="str">
        <f>"15.000,00"</f>
        <v>15.000,00</v>
      </c>
      <c r="C122" s="15" t="str">
        <f>"15.000,00"</f>
        <v>15.000,00</v>
      </c>
      <c r="I122" s="2">
        <v>-15000</v>
      </c>
    </row>
    <row r="123" spans="1:9" ht="12.75">
      <c r="A123" t="s">
        <v>86</v>
      </c>
      <c r="B123" s="15" t="str">
        <f>"5.000,00"</f>
        <v>5.000,00</v>
      </c>
      <c r="C123" s="15" t="str">
        <f>"5.000,00"</f>
        <v>5.000,00</v>
      </c>
      <c r="I123" s="2">
        <v>-5000</v>
      </c>
    </row>
    <row r="124" spans="1:6" ht="12.75">
      <c r="A124" t="s">
        <v>87</v>
      </c>
      <c r="B124" s="15" t="str">
        <f>"25.000,00"</f>
        <v>25.000,00</v>
      </c>
      <c r="C124" s="15" t="str">
        <f>"25.000,00"</f>
        <v>25.000,00</v>
      </c>
      <c r="D124" s="1">
        <f>1089900/100</f>
        <v>10899</v>
      </c>
      <c r="E124">
        <f>4360/100</f>
        <v>43.6</v>
      </c>
      <c r="F124">
        <f>4360/100</f>
        <v>43.6</v>
      </c>
    </row>
    <row r="125" spans="1:11" s="23" customFormat="1" ht="13.5" thickBot="1">
      <c r="A125" s="23" t="s">
        <v>88</v>
      </c>
      <c r="B125" s="24" t="str">
        <f>"25.000,00"</f>
        <v>25.000,00</v>
      </c>
      <c r="C125" s="24" t="str">
        <f>"25.000,00"</f>
        <v>25.000,00</v>
      </c>
      <c r="D125" s="25">
        <f>1572800/100</f>
        <v>15728</v>
      </c>
      <c r="E125" s="23">
        <f>6291/100</f>
        <v>62.91</v>
      </c>
      <c r="F125" s="23">
        <f>6291/100</f>
        <v>62.91</v>
      </c>
      <c r="H125" s="26"/>
      <c r="I125" s="27">
        <v>5000</v>
      </c>
      <c r="K125" s="25"/>
    </row>
    <row r="126" spans="1:6" ht="12.75">
      <c r="A126" t="s">
        <v>89</v>
      </c>
      <c r="B126" s="15" t="str">
        <f>"70.000,00"</f>
        <v>70.000,00</v>
      </c>
      <c r="C126" s="15" t="str">
        <f>"70.000,00"</f>
        <v>70.000,00</v>
      </c>
      <c r="D126" s="1">
        <f>2662700/100</f>
        <v>26627</v>
      </c>
      <c r="E126">
        <f>3804/100</f>
        <v>38.04</v>
      </c>
      <c r="F126">
        <f>3804/100</f>
        <v>38.04</v>
      </c>
    </row>
    <row r="128" spans="1:9" ht="12.75">
      <c r="A128" t="s">
        <v>90</v>
      </c>
      <c r="B128" s="15" t="str">
        <f>"20.000,00"</f>
        <v>20.000,00</v>
      </c>
      <c r="C128" s="15" t="str">
        <f>"20.000,00"</f>
        <v>20.000,00</v>
      </c>
      <c r="D128" s="1">
        <f>1169700/100</f>
        <v>11697</v>
      </c>
      <c r="E128">
        <f>5849/100</f>
        <v>58.49</v>
      </c>
      <c r="F128">
        <f>5849/100</f>
        <v>58.49</v>
      </c>
      <c r="I128" s="2">
        <v>-8000</v>
      </c>
    </row>
    <row r="129" spans="1:6" ht="12.75">
      <c r="A129" t="s">
        <v>91</v>
      </c>
      <c r="B129" s="15" t="str">
        <f>"3.500,00"</f>
        <v>3.500,00</v>
      </c>
      <c r="C129" s="15" t="str">
        <f>"3.500,00"</f>
        <v>3.500,00</v>
      </c>
      <c r="D129" s="1">
        <f>327700/100</f>
        <v>3277</v>
      </c>
      <c r="E129">
        <f>9363/100</f>
        <v>93.63</v>
      </c>
      <c r="F129">
        <f>9363/100</f>
        <v>93.63</v>
      </c>
    </row>
    <row r="130" spans="1:9" ht="12.75">
      <c r="A130" t="s">
        <v>92</v>
      </c>
      <c r="B130" s="15" t="str">
        <f>"10.000,00"</f>
        <v>10.000,00</v>
      </c>
      <c r="C130" s="15" t="str">
        <f>"10.000,00"</f>
        <v>10.000,00</v>
      </c>
      <c r="D130" s="1">
        <f>35400/100</f>
        <v>354</v>
      </c>
      <c r="E130">
        <f>354/100</f>
        <v>3.54</v>
      </c>
      <c r="F130">
        <f>354/100</f>
        <v>3.54</v>
      </c>
      <c r="I130" s="2">
        <v>-9000</v>
      </c>
    </row>
    <row r="131" spans="1:11" s="23" customFormat="1" ht="13.5" thickBot="1">
      <c r="A131" s="23" t="s">
        <v>93</v>
      </c>
      <c r="B131" s="24" t="str">
        <f>"20.000,00"</f>
        <v>20.000,00</v>
      </c>
      <c r="C131" s="24" t="str">
        <f>"20.000,00"</f>
        <v>20.000,00</v>
      </c>
      <c r="D131" s="25">
        <f>576000/100</f>
        <v>5760</v>
      </c>
      <c r="E131" s="23">
        <f>2880/100</f>
        <v>28.8</v>
      </c>
      <c r="F131" s="23">
        <f>2880/100</f>
        <v>28.8</v>
      </c>
      <c r="H131" s="26"/>
      <c r="I131" s="27">
        <v>-10000</v>
      </c>
      <c r="K131" s="25"/>
    </row>
    <row r="132" spans="1:6" ht="12.75">
      <c r="A132" t="s">
        <v>94</v>
      </c>
      <c r="B132" s="15" t="str">
        <f>"53.500,00"</f>
        <v>53.500,00</v>
      </c>
      <c r="C132" s="15" t="str">
        <f>"53.500,00"</f>
        <v>53.500,00</v>
      </c>
      <c r="D132" s="1">
        <f>2108800/100</f>
        <v>21088</v>
      </c>
      <c r="E132">
        <f>3942/100</f>
        <v>39.42</v>
      </c>
      <c r="F132">
        <f>3942/100</f>
        <v>39.42</v>
      </c>
    </row>
    <row r="134" spans="1:9" ht="12.75">
      <c r="A134" t="s">
        <v>95</v>
      </c>
      <c r="B134" s="15" t="str">
        <f>"100.000,00"</f>
        <v>100.000,00</v>
      </c>
      <c r="C134" s="15" t="str">
        <f>"100.000,00"</f>
        <v>100.000,00</v>
      </c>
      <c r="D134" s="1">
        <f>2449000/100</f>
        <v>24490</v>
      </c>
      <c r="E134">
        <f>2449/100</f>
        <v>24.49</v>
      </c>
      <c r="F134">
        <f>2449/100</f>
        <v>24.49</v>
      </c>
      <c r="I134" s="2">
        <v>-50000</v>
      </c>
    </row>
    <row r="135" spans="1:11" s="23" customFormat="1" ht="13.5" thickBot="1">
      <c r="A135" s="23" t="s">
        <v>96</v>
      </c>
      <c r="B135" s="24" t="str">
        <f>"220.000,00"</f>
        <v>220.000,00</v>
      </c>
      <c r="C135" s="24" t="str">
        <f>"220.000,00"</f>
        <v>220.000,00</v>
      </c>
      <c r="D135" s="25"/>
      <c r="H135" s="26"/>
      <c r="I135" s="27">
        <v>-220000</v>
      </c>
      <c r="K135" s="25"/>
    </row>
    <row r="136" spans="1:6" ht="12.75">
      <c r="A136" t="s">
        <v>97</v>
      </c>
      <c r="B136" s="15" t="str">
        <f>"320.000,00"</f>
        <v>320.000,00</v>
      </c>
      <c r="C136" s="15" t="str">
        <f>"320.000,00"</f>
        <v>320.000,00</v>
      </c>
      <c r="D136" s="1">
        <f>2449000/100</f>
        <v>24490</v>
      </c>
      <c r="E136">
        <f>765/100</f>
        <v>7.65</v>
      </c>
      <c r="F136">
        <f>765/100</f>
        <v>7.65</v>
      </c>
    </row>
    <row r="138" spans="1:6" ht="12.75">
      <c r="A138" t="s">
        <v>98</v>
      </c>
      <c r="B138" s="15" t="str">
        <f>"5.000,00"</f>
        <v>5.000,00</v>
      </c>
      <c r="C138" s="15" t="str">
        <f>"5.000,00"</f>
        <v>5.000,00</v>
      </c>
      <c r="D138" s="1">
        <f>58000/100</f>
        <v>580</v>
      </c>
      <c r="E138">
        <f>1160/100</f>
        <v>11.6</v>
      </c>
      <c r="F138">
        <f>1160/100</f>
        <v>11.6</v>
      </c>
    </row>
    <row r="139" spans="1:11" s="23" customFormat="1" ht="13.5" thickBot="1">
      <c r="A139" s="23" t="s">
        <v>99</v>
      </c>
      <c r="B139" s="24" t="str">
        <f>"10.000,00"</f>
        <v>10.000,00</v>
      </c>
      <c r="C139" s="24" t="str">
        <f>"10.000,00"</f>
        <v>10.000,00</v>
      </c>
      <c r="D139" s="25"/>
      <c r="H139" s="26"/>
      <c r="I139" s="27">
        <v>-10000</v>
      </c>
      <c r="K139" s="25"/>
    </row>
    <row r="140" spans="1:6" ht="12.75">
      <c r="A140" t="s">
        <v>100</v>
      </c>
      <c r="B140" s="15" t="str">
        <f>"15.000,00"</f>
        <v>15.000,00</v>
      </c>
      <c r="C140" s="15" t="str">
        <f>"15.000,00"</f>
        <v>15.000,00</v>
      </c>
      <c r="D140" s="1">
        <f>58000/100</f>
        <v>580</v>
      </c>
      <c r="E140">
        <f>387/100</f>
        <v>3.87</v>
      </c>
      <c r="F140">
        <f>387/100</f>
        <v>3.87</v>
      </c>
    </row>
    <row r="142" spans="1:6" ht="12.75">
      <c r="A142" t="s">
        <v>101</v>
      </c>
      <c r="B142" s="15" t="str">
        <f>"1.000,00"</f>
        <v>1.000,00</v>
      </c>
      <c r="C142" s="15" t="str">
        <f>"1.000,00"</f>
        <v>1.000,00</v>
      </c>
      <c r="D142" s="1">
        <f>25820/100</f>
        <v>258.2</v>
      </c>
      <c r="E142">
        <f>2582/100</f>
        <v>25.82</v>
      </c>
      <c r="F142">
        <f>2582/100</f>
        <v>25.82</v>
      </c>
    </row>
    <row r="143" spans="1:4" ht="12.75">
      <c r="A143" t="s">
        <v>102</v>
      </c>
      <c r="D143" s="1">
        <f>114648/100</f>
        <v>1146.48</v>
      </c>
    </row>
    <row r="144" spans="1:6" ht="12.75">
      <c r="A144" t="s">
        <v>103</v>
      </c>
      <c r="B144" s="15" t="str">
        <f>"15.000,00"</f>
        <v>15.000,00</v>
      </c>
      <c r="C144" s="15" t="str">
        <f>"15.000,00"</f>
        <v>15.000,00</v>
      </c>
      <c r="D144" s="1">
        <f>820530/100</f>
        <v>8205.3</v>
      </c>
      <c r="E144">
        <f>5470/100</f>
        <v>54.7</v>
      </c>
      <c r="F144">
        <f>5470/100</f>
        <v>54.7</v>
      </c>
    </row>
    <row r="145" spans="1:11" s="23" customFormat="1" ht="13.5" thickBot="1">
      <c r="A145" s="23" t="s">
        <v>104</v>
      </c>
      <c r="B145" s="24" t="str">
        <f>"15.000,00"</f>
        <v>15.000,00</v>
      </c>
      <c r="C145" s="24" t="str">
        <f>"15.000,00"</f>
        <v>15.000,00</v>
      </c>
      <c r="D145" s="25"/>
      <c r="H145" s="26"/>
      <c r="I145" s="27">
        <v>-15000</v>
      </c>
      <c r="K145" s="25"/>
    </row>
    <row r="146" spans="1:6" ht="12.75">
      <c r="A146" t="s">
        <v>105</v>
      </c>
      <c r="B146" s="15" t="str">
        <f>"31.000,00"</f>
        <v>31.000,00</v>
      </c>
      <c r="C146" s="15" t="str">
        <f>"31.000,00"</f>
        <v>31.000,00</v>
      </c>
      <c r="D146" s="1">
        <f>960998/100</f>
        <v>9609.98</v>
      </c>
      <c r="E146">
        <f>3100/100</f>
        <v>31</v>
      </c>
      <c r="F146">
        <f>3100/100</f>
        <v>31</v>
      </c>
    </row>
    <row r="148" spans="1:9" ht="12.75">
      <c r="A148" t="s">
        <v>106</v>
      </c>
      <c r="B148" s="15" t="str">
        <f>"10.000,00"</f>
        <v>10.000,00</v>
      </c>
      <c r="C148" s="15" t="str">
        <f>"10.000,00"</f>
        <v>10.000,00</v>
      </c>
      <c r="D148" s="1">
        <f>1882900/100</f>
        <v>18829</v>
      </c>
      <c r="E148">
        <f>18829/100</f>
        <v>188.29</v>
      </c>
      <c r="F148">
        <f>18829/100</f>
        <v>188.29</v>
      </c>
      <c r="I148" s="2">
        <v>10000</v>
      </c>
    </row>
    <row r="149" spans="1:6" ht="12.75">
      <c r="A149" t="s">
        <v>107</v>
      </c>
      <c r="B149" s="15" t="str">
        <f>"5.000,00"</f>
        <v>5.000,00</v>
      </c>
      <c r="C149" s="15" t="str">
        <f>"5.000,00"</f>
        <v>5.000,00</v>
      </c>
      <c r="D149" s="1">
        <f>383500/100</f>
        <v>3835</v>
      </c>
      <c r="E149">
        <f>7670/100</f>
        <v>76.7</v>
      </c>
      <c r="F149">
        <f>7670/100</f>
        <v>76.7</v>
      </c>
    </row>
    <row r="150" spans="1:4" ht="12.75">
      <c r="A150" t="s">
        <v>108</v>
      </c>
      <c r="D150" s="1">
        <f>415860/100</f>
        <v>4158.6</v>
      </c>
    </row>
    <row r="151" spans="1:4" ht="12.75">
      <c r="A151" t="s">
        <v>109</v>
      </c>
      <c r="D151" s="1">
        <f>-42500/100</f>
        <v>-425</v>
      </c>
    </row>
    <row r="152" spans="1:11" s="23" customFormat="1" ht="13.5" thickBot="1">
      <c r="A152" s="23" t="s">
        <v>110</v>
      </c>
      <c r="B152" s="24" t="str">
        <f>"60.000,00"</f>
        <v>60.000,00</v>
      </c>
      <c r="C152" s="24" t="str">
        <f>"60.000,00"</f>
        <v>60.000,00</v>
      </c>
      <c r="D152" s="25">
        <f>550000/100</f>
        <v>5500</v>
      </c>
      <c r="E152" s="23">
        <f>917/100</f>
        <v>9.17</v>
      </c>
      <c r="F152" s="23">
        <f>917/100</f>
        <v>9.17</v>
      </c>
      <c r="H152" s="26"/>
      <c r="I152" s="27"/>
      <c r="K152" s="25"/>
    </row>
    <row r="153" spans="1:6" ht="12.75">
      <c r="A153" t="s">
        <v>111</v>
      </c>
      <c r="B153" s="15" t="str">
        <f>"75.000,00"</f>
        <v>75.000,00</v>
      </c>
      <c r="C153" s="15" t="str">
        <f>"75.000,00"</f>
        <v>75.000,00</v>
      </c>
      <c r="D153" s="1">
        <f>3189760/100</f>
        <v>31897.6</v>
      </c>
      <c r="E153">
        <f>4253/100</f>
        <v>42.53</v>
      </c>
      <c r="F153">
        <f>4253/100</f>
        <v>42.53</v>
      </c>
    </row>
    <row r="155" spans="1:9" ht="12.75">
      <c r="A155" t="s">
        <v>112</v>
      </c>
      <c r="B155" s="15" t="str">
        <f>"50.000,00"</f>
        <v>50.000,00</v>
      </c>
      <c r="C155" s="15" t="str">
        <f>"50.000,00"</f>
        <v>50.000,00</v>
      </c>
      <c r="D155" s="1">
        <f>928400/100</f>
        <v>9284</v>
      </c>
      <c r="E155">
        <f>1857/100</f>
        <v>18.57</v>
      </c>
      <c r="F155">
        <f>1857/100</f>
        <v>18.57</v>
      </c>
      <c r="I155" s="2">
        <v>-20000</v>
      </c>
    </row>
    <row r="156" spans="1:6" ht="12.75">
      <c r="A156" t="s">
        <v>113</v>
      </c>
      <c r="B156" s="15" t="str">
        <f>"121.000,00"</f>
        <v>121.000,00</v>
      </c>
      <c r="C156" s="15" t="str">
        <f>"121.000,00"</f>
        <v>121.000,00</v>
      </c>
      <c r="D156" s="1">
        <f>10322700/100</f>
        <v>103227</v>
      </c>
      <c r="E156">
        <f>8531/100</f>
        <v>85.31</v>
      </c>
      <c r="F156">
        <f>8531/100</f>
        <v>85.31</v>
      </c>
    </row>
    <row r="157" spans="1:6" ht="12.75">
      <c r="A157" t="s">
        <v>114</v>
      </c>
      <c r="B157" s="15" t="str">
        <f>"15.000,00"</f>
        <v>15.000,00</v>
      </c>
      <c r="C157" s="15" t="str">
        <f>"15.000,00"</f>
        <v>15.000,00</v>
      </c>
      <c r="D157" s="1">
        <f>135800/100</f>
        <v>1358</v>
      </c>
      <c r="E157">
        <f>905/100</f>
        <v>9.05</v>
      </c>
      <c r="F157">
        <f>905/100</f>
        <v>9.05</v>
      </c>
    </row>
    <row r="158" spans="1:11" s="23" customFormat="1" ht="13.5" thickBot="1">
      <c r="A158" s="23" t="s">
        <v>206</v>
      </c>
      <c r="B158" s="24"/>
      <c r="C158" s="24" t="str">
        <f>"200.000,00"</f>
        <v>200.000,00</v>
      </c>
      <c r="D158" s="25">
        <f>15515100/100</f>
        <v>155151</v>
      </c>
      <c r="F158" s="23">
        <f>7758/100</f>
        <v>77.58</v>
      </c>
      <c r="H158" s="26"/>
      <c r="I158" s="27">
        <v>-40000</v>
      </c>
      <c r="K158" s="25"/>
    </row>
    <row r="159" spans="1:6" ht="12.75">
      <c r="A159" t="s">
        <v>115</v>
      </c>
      <c r="B159" s="15" t="str">
        <f>"186.000,00"</f>
        <v>186.000,00</v>
      </c>
      <c r="C159" s="15" t="str">
        <f>"386.000,00"</f>
        <v>386.000,00</v>
      </c>
      <c r="D159" s="1">
        <f>26902000/100</f>
        <v>269020</v>
      </c>
      <c r="E159">
        <f>14463/100</f>
        <v>144.63</v>
      </c>
      <c r="F159">
        <f>6969/100</f>
        <v>69.69</v>
      </c>
    </row>
    <row r="161" spans="1:6" ht="12.75">
      <c r="A161" t="s">
        <v>116</v>
      </c>
      <c r="B161" s="15" t="str">
        <f>"3.000,00"</f>
        <v>3.000,00</v>
      </c>
      <c r="C161" s="15" t="str">
        <f>"3.000,00"</f>
        <v>3.000,00</v>
      </c>
      <c r="D161" s="1">
        <f>23040/100</f>
        <v>230.4</v>
      </c>
      <c r="E161">
        <f>768/100</f>
        <v>7.68</v>
      </c>
      <c r="F161">
        <f>768/100</f>
        <v>7.68</v>
      </c>
    </row>
    <row r="162" spans="1:6" ht="12.75">
      <c r="A162" t="s">
        <v>117</v>
      </c>
      <c r="B162" s="15" t="str">
        <f>"3.000,00"</f>
        <v>3.000,00</v>
      </c>
      <c r="C162" s="15" t="str">
        <f>"3.000,00"</f>
        <v>3.000,00</v>
      </c>
      <c r="D162" s="1">
        <f>145860/100</f>
        <v>1458.6</v>
      </c>
      <c r="E162">
        <f>4862/100</f>
        <v>48.62</v>
      </c>
      <c r="F162">
        <f>4862/100</f>
        <v>48.62</v>
      </c>
    </row>
    <row r="163" spans="1:11" s="23" customFormat="1" ht="13.5" thickBot="1">
      <c r="A163" s="23" t="s">
        <v>118</v>
      </c>
      <c r="B163" s="24" t="str">
        <f>"15.000,00"</f>
        <v>15.000,00</v>
      </c>
      <c r="C163" s="24" t="str">
        <f>"15.000,00"</f>
        <v>15.000,00</v>
      </c>
      <c r="D163" s="25"/>
      <c r="H163" s="26"/>
      <c r="I163" s="27">
        <v>-15000</v>
      </c>
      <c r="K163" s="25"/>
    </row>
    <row r="164" spans="1:6" ht="12.75">
      <c r="A164" t="s">
        <v>24</v>
      </c>
      <c r="B164" s="15" t="str">
        <f>"21.000,00"</f>
        <v>21.000,00</v>
      </c>
      <c r="C164" s="15" t="str">
        <f>"21.000,00"</f>
        <v>21.000,00</v>
      </c>
      <c r="D164" s="1">
        <f>168900/100</f>
        <v>1689</v>
      </c>
      <c r="E164">
        <f>804/100</f>
        <v>8.04</v>
      </c>
      <c r="F164">
        <f>804/100</f>
        <v>8.04</v>
      </c>
    </row>
    <row r="166" spans="1:9" ht="12.75">
      <c r="A166" t="s">
        <v>119</v>
      </c>
      <c r="D166" s="1">
        <f>98900/100</f>
        <v>989</v>
      </c>
      <c r="I166" s="2">
        <v>1500</v>
      </c>
    </row>
    <row r="167" spans="1:9" ht="12.75">
      <c r="A167" t="s">
        <v>227</v>
      </c>
      <c r="D167" s="1">
        <f>1000000/100</f>
        <v>10000</v>
      </c>
      <c r="I167" s="2">
        <v>10000</v>
      </c>
    </row>
    <row r="168" spans="1:9" ht="12.75">
      <c r="A168" t="s">
        <v>120</v>
      </c>
      <c r="B168" s="15" t="str">
        <f>"210.000,00"</f>
        <v>210.000,00</v>
      </c>
      <c r="C168" s="15" t="str">
        <f>"210.000,00"</f>
        <v>210.000,00</v>
      </c>
      <c r="D168" s="1">
        <f>52270400/100</f>
        <v>522704</v>
      </c>
      <c r="E168">
        <f>24891/100</f>
        <v>248.91</v>
      </c>
      <c r="F168">
        <f>24891/100</f>
        <v>248.91</v>
      </c>
      <c r="I168" s="2">
        <v>320000</v>
      </c>
    </row>
    <row r="169" spans="1:9" ht="12.75">
      <c r="A169" t="s">
        <v>121</v>
      </c>
      <c r="D169" s="1">
        <f>65400/100</f>
        <v>654</v>
      </c>
      <c r="I169" s="2">
        <v>1500</v>
      </c>
    </row>
    <row r="170" spans="1:11" s="23" customFormat="1" ht="13.5" thickBot="1">
      <c r="A170" s="23" t="s">
        <v>122</v>
      </c>
      <c r="B170" s="24" t="str">
        <f>"120.000,00"</f>
        <v>120.000,00</v>
      </c>
      <c r="C170" s="24" t="str">
        <f>"120.000,00"</f>
        <v>120.000,00</v>
      </c>
      <c r="D170" s="25">
        <f>3555000/100</f>
        <v>35550</v>
      </c>
      <c r="E170" s="23">
        <f>2963/100</f>
        <v>29.63</v>
      </c>
      <c r="F170" s="23">
        <f>2963/100</f>
        <v>29.63</v>
      </c>
      <c r="H170" s="26"/>
      <c r="I170" s="27">
        <v>-70000</v>
      </c>
      <c r="K170" s="25"/>
    </row>
    <row r="171" spans="1:6" ht="12.75">
      <c r="A171" t="s">
        <v>123</v>
      </c>
      <c r="B171" s="15" t="str">
        <f>"330.000,00"</f>
        <v>330.000,00</v>
      </c>
      <c r="C171" s="15" t="str">
        <f>"330.000,00"</f>
        <v>330.000,00</v>
      </c>
      <c r="D171" s="1">
        <f>56989700/100</f>
        <v>569897</v>
      </c>
      <c r="E171">
        <f>17270/100</f>
        <v>172.7</v>
      </c>
      <c r="F171">
        <f>17270/100</f>
        <v>172.7</v>
      </c>
    </row>
    <row r="173" spans="1:9" ht="12.75">
      <c r="A173" t="s">
        <v>124</v>
      </c>
      <c r="B173" s="15" t="str">
        <f>"25.000,00"</f>
        <v>25.000,00</v>
      </c>
      <c r="C173" s="15" t="str">
        <f>"25.000,00"</f>
        <v>25.000,00</v>
      </c>
      <c r="D173" s="1">
        <f>33600/100</f>
        <v>336</v>
      </c>
      <c r="E173">
        <f>134/100</f>
        <v>1.34</v>
      </c>
      <c r="F173">
        <f>134/100</f>
        <v>1.34</v>
      </c>
      <c r="I173" s="2">
        <v>-20000</v>
      </c>
    </row>
    <row r="174" spans="1:9" ht="12.75">
      <c r="A174" t="s">
        <v>125</v>
      </c>
      <c r="B174" s="15" t="str">
        <f>"1.000,00"</f>
        <v>1.000,00</v>
      </c>
      <c r="C174" s="15" t="str">
        <f>"1.000,00"</f>
        <v>1.000,00</v>
      </c>
      <c r="D174" s="1">
        <f>349900/100</f>
        <v>3499</v>
      </c>
      <c r="E174">
        <f>34990/100</f>
        <v>349.9</v>
      </c>
      <c r="F174">
        <f>34990/100</f>
        <v>349.9</v>
      </c>
      <c r="I174" s="2">
        <v>5000</v>
      </c>
    </row>
    <row r="175" spans="1:9" ht="12.75">
      <c r="A175" t="s">
        <v>126</v>
      </c>
      <c r="C175" s="15" t="str">
        <f>"800.000,00"</f>
        <v>800.000,00</v>
      </c>
      <c r="D175" s="1">
        <f>8832500/100</f>
        <v>88325</v>
      </c>
      <c r="F175">
        <f>1104/100</f>
        <v>11.04</v>
      </c>
      <c r="I175" s="2">
        <v>-700000</v>
      </c>
    </row>
    <row r="176" spans="1:11" s="23" customFormat="1" ht="13.5" thickBot="1">
      <c r="A176" s="23" t="s">
        <v>127</v>
      </c>
      <c r="B176" s="24" t="str">
        <f>"10.000,00"</f>
        <v>10.000,00</v>
      </c>
      <c r="C176" s="24" t="str">
        <f>"10.000,00"</f>
        <v>10.000,00</v>
      </c>
      <c r="D176" s="25"/>
      <c r="H176" s="26"/>
      <c r="I176" s="27">
        <v>-5000</v>
      </c>
      <c r="K176" s="25"/>
    </row>
    <row r="177" spans="1:6" ht="12.75">
      <c r="A177" t="s">
        <v>26</v>
      </c>
      <c r="B177" s="15" t="str">
        <f>"36.000,00"</f>
        <v>36.000,00</v>
      </c>
      <c r="C177" s="15" t="str">
        <f>"836.000,00"</f>
        <v>836.000,00</v>
      </c>
      <c r="D177" s="1">
        <f>9216000/100</f>
        <v>92160</v>
      </c>
      <c r="E177">
        <f>25600/100</f>
        <v>256</v>
      </c>
      <c r="F177">
        <f>1102/100</f>
        <v>11.02</v>
      </c>
    </row>
    <row r="179" spans="1:6" ht="12.75">
      <c r="A179" t="s">
        <v>128</v>
      </c>
      <c r="B179" s="15" t="str">
        <f>"10.000,00"</f>
        <v>10.000,00</v>
      </c>
      <c r="C179" s="15" t="str">
        <f>"10.000,00"</f>
        <v>10.000,00</v>
      </c>
      <c r="D179" s="1">
        <f>1036800/100</f>
        <v>10368</v>
      </c>
      <c r="E179">
        <f>10368/100</f>
        <v>103.68</v>
      </c>
      <c r="F179">
        <f>10368/100</f>
        <v>103.68</v>
      </c>
    </row>
    <row r="180" spans="1:6" ht="12.75">
      <c r="A180" t="s">
        <v>129</v>
      </c>
      <c r="B180" s="15" t="str">
        <f>"650.000,00"</f>
        <v>650.000,00</v>
      </c>
      <c r="C180" s="15" t="str">
        <f>"650.000,00"</f>
        <v>650.000,00</v>
      </c>
      <c r="D180" s="1">
        <f>48103600/100</f>
        <v>481036</v>
      </c>
      <c r="E180">
        <f>7401/100</f>
        <v>74.01</v>
      </c>
      <c r="F180">
        <f>7401/100</f>
        <v>74.01</v>
      </c>
    </row>
    <row r="181" spans="1:11" s="23" customFormat="1" ht="13.5" thickBot="1">
      <c r="A181" s="23" t="s">
        <v>130</v>
      </c>
      <c r="B181" s="24" t="str">
        <f>"80.000,00"</f>
        <v>80.000,00</v>
      </c>
      <c r="C181" s="24" t="str">
        <f>"80.000,00"</f>
        <v>80.000,00</v>
      </c>
      <c r="D181" s="25"/>
      <c r="H181" s="26"/>
      <c r="I181" s="27"/>
      <c r="K181" s="25"/>
    </row>
    <row r="182" spans="1:6" ht="12.75">
      <c r="A182" t="s">
        <v>28</v>
      </c>
      <c r="B182" s="15" t="str">
        <f>"740.000,00"</f>
        <v>740.000,00</v>
      </c>
      <c r="C182" s="15" t="str">
        <f>"740.000,00"</f>
        <v>740.000,00</v>
      </c>
      <c r="D182" s="1">
        <f>49140400/100</f>
        <v>491404</v>
      </c>
      <c r="E182">
        <f>6641/100</f>
        <v>66.41</v>
      </c>
      <c r="F182">
        <f>6641/100</f>
        <v>66.41</v>
      </c>
    </row>
    <row r="184" spans="1:9" ht="12.75">
      <c r="A184" t="s">
        <v>131</v>
      </c>
      <c r="D184" s="1">
        <f>687000/100</f>
        <v>6870</v>
      </c>
      <c r="I184" s="2">
        <v>10000</v>
      </c>
    </row>
    <row r="185" spans="1:11" s="23" customFormat="1" ht="13.5" thickBot="1">
      <c r="A185" s="23" t="s">
        <v>132</v>
      </c>
      <c r="B185" s="24" t="str">
        <f>"140.000,00"</f>
        <v>140.000,00</v>
      </c>
      <c r="C185" s="24" t="str">
        <f>"140.000,00"</f>
        <v>140.000,00</v>
      </c>
      <c r="D185" s="25">
        <f>9463500/100</f>
        <v>94635</v>
      </c>
      <c r="E185" s="23">
        <f>6760/100</f>
        <v>67.6</v>
      </c>
      <c r="F185" s="23">
        <f>6760/100</f>
        <v>67.6</v>
      </c>
      <c r="H185" s="26"/>
      <c r="I185" s="27"/>
      <c r="K185" s="25"/>
    </row>
    <row r="186" spans="1:6" ht="12.75">
      <c r="A186" t="s">
        <v>30</v>
      </c>
      <c r="B186" s="15" t="str">
        <f>"140.000,00"</f>
        <v>140.000,00</v>
      </c>
      <c r="C186" s="15" t="str">
        <f>"140.000,00"</f>
        <v>140.000,00</v>
      </c>
      <c r="D186" s="1">
        <f>10150500/100</f>
        <v>101505</v>
      </c>
      <c r="E186">
        <f>7250/100</f>
        <v>72.5</v>
      </c>
      <c r="F186">
        <f>7250/100</f>
        <v>72.5</v>
      </c>
    </row>
    <row r="188" spans="1:11" s="23" customFormat="1" ht="13.5" thickBot="1">
      <c r="A188" s="23" t="s">
        <v>133</v>
      </c>
      <c r="B188" s="24" t="str">
        <f>"40.000,00"</f>
        <v>40.000,00</v>
      </c>
      <c r="C188" s="24" t="str">
        <f>"40.000,00"</f>
        <v>40.000,00</v>
      </c>
      <c r="D188" s="25">
        <f>4304900/100</f>
        <v>43049</v>
      </c>
      <c r="E188" s="23">
        <f>10762/100</f>
        <v>107.62</v>
      </c>
      <c r="F188" s="23">
        <f>10762/100</f>
        <v>107.62</v>
      </c>
      <c r="H188" s="26"/>
      <c r="I188" s="27"/>
      <c r="K188" s="25"/>
    </row>
    <row r="189" spans="1:6" ht="12.75">
      <c r="A189" t="s">
        <v>134</v>
      </c>
      <c r="B189" s="15" t="str">
        <f>"40.000,00"</f>
        <v>40.000,00</v>
      </c>
      <c r="C189" s="15" t="str">
        <f>"40.000,00"</f>
        <v>40.000,00</v>
      </c>
      <c r="D189" s="1">
        <f>4304900/100</f>
        <v>43049</v>
      </c>
      <c r="E189">
        <f>10762/100</f>
        <v>107.62</v>
      </c>
      <c r="F189">
        <f>10762/100</f>
        <v>107.62</v>
      </c>
    </row>
    <row r="191" spans="1:9" ht="12.75">
      <c r="A191" t="s">
        <v>135</v>
      </c>
      <c r="B191" s="15" t="str">
        <f>"20.000,00"</f>
        <v>20.000,00</v>
      </c>
      <c r="C191" s="15" t="str">
        <f>"20.000,00"</f>
        <v>20.000,00</v>
      </c>
      <c r="I191" s="2">
        <v>-20000</v>
      </c>
    </row>
    <row r="192" spans="1:11" s="23" customFormat="1" ht="13.5" thickBot="1">
      <c r="A192" s="23" t="s">
        <v>136</v>
      </c>
      <c r="B192" s="24" t="str">
        <f>"2.000,00"</f>
        <v>2.000,00</v>
      </c>
      <c r="C192" s="24" t="str">
        <f>"2.000,00"</f>
        <v>2.000,00</v>
      </c>
      <c r="D192" s="25"/>
      <c r="H192" s="26"/>
      <c r="I192" s="27">
        <v>-2000</v>
      </c>
      <c r="K192" s="25"/>
    </row>
    <row r="193" spans="1:3" ht="12.75">
      <c r="A193" t="s">
        <v>137</v>
      </c>
      <c r="B193" s="15" t="str">
        <f>"22.000,00"</f>
        <v>22.000,00</v>
      </c>
      <c r="C193" s="15" t="str">
        <f>"22.000,00"</f>
        <v>22.000,00</v>
      </c>
    </row>
    <row r="195" spans="1:6" ht="12.75">
      <c r="A195" t="s">
        <v>138</v>
      </c>
      <c r="B195" s="15" t="str">
        <f>"280.000,00"</f>
        <v>280.000,00</v>
      </c>
      <c r="C195" s="15" t="str">
        <f>"280.000,00"</f>
        <v>280.000,00</v>
      </c>
      <c r="D195" s="1">
        <f>15705400/100</f>
        <v>157054</v>
      </c>
      <c r="E195">
        <f>5609/100</f>
        <v>56.09</v>
      </c>
      <c r="F195">
        <f>5609/100</f>
        <v>56.09</v>
      </c>
    </row>
    <row r="196" spans="1:6" ht="12.75">
      <c r="A196" t="s">
        <v>139</v>
      </c>
      <c r="B196" s="15" t="str">
        <f>"30.000,00"</f>
        <v>30.000,00</v>
      </c>
      <c r="C196" s="15" t="str">
        <f>"50.000,00"</f>
        <v>50.000,00</v>
      </c>
      <c r="D196" s="1">
        <f>4141800/100</f>
        <v>41418</v>
      </c>
      <c r="E196">
        <f>13806/100</f>
        <v>138.06</v>
      </c>
      <c r="F196">
        <f>8284/100</f>
        <v>82.84</v>
      </c>
    </row>
    <row r="197" spans="1:6" ht="12.75">
      <c r="A197" t="s">
        <v>140</v>
      </c>
      <c r="B197" s="15" t="str">
        <f>"80.600,00"</f>
        <v>80.600,00</v>
      </c>
      <c r="C197" s="15" t="str">
        <f>"80.600,00"</f>
        <v>80.600,00</v>
      </c>
      <c r="D197" s="1">
        <f>4631900/100</f>
        <v>46319</v>
      </c>
      <c r="E197">
        <f>5747/100</f>
        <v>57.47</v>
      </c>
      <c r="F197">
        <f>5747/100</f>
        <v>57.47</v>
      </c>
    </row>
    <row r="198" spans="1:6" ht="12.75">
      <c r="A198" t="s">
        <v>141</v>
      </c>
      <c r="B198" s="15" t="str">
        <f>"27.900,00"</f>
        <v>27.900,00</v>
      </c>
      <c r="C198" s="15" t="str">
        <f>"27.900,00"</f>
        <v>27.900,00</v>
      </c>
      <c r="D198" s="1">
        <f>1667200/100</f>
        <v>16672</v>
      </c>
      <c r="E198">
        <f>5976/100</f>
        <v>59.76</v>
      </c>
      <c r="F198">
        <f>5976/100</f>
        <v>59.76</v>
      </c>
    </row>
    <row r="199" spans="1:6" ht="12.75">
      <c r="A199" t="s">
        <v>142</v>
      </c>
      <c r="C199" s="15" t="str">
        <f>"5.000,00"</f>
        <v>5.000,00</v>
      </c>
      <c r="D199" s="1">
        <f>107400/100</f>
        <v>1074</v>
      </c>
      <c r="F199">
        <f>2148/100</f>
        <v>21.48</v>
      </c>
    </row>
    <row r="200" spans="1:9" ht="12.75">
      <c r="A200" t="s">
        <v>143</v>
      </c>
      <c r="B200" s="15" t="str">
        <f>"50.000,00"</f>
        <v>50.000,00</v>
      </c>
      <c r="C200" s="15" t="str">
        <f>"50.000,00"</f>
        <v>50.000,00</v>
      </c>
      <c r="D200" s="1">
        <f>1829300/100</f>
        <v>18293</v>
      </c>
      <c r="E200">
        <f>3659/100</f>
        <v>36.59</v>
      </c>
      <c r="F200">
        <f>3659/100</f>
        <v>36.59</v>
      </c>
      <c r="I200" s="2">
        <v>-15000</v>
      </c>
    </row>
    <row r="201" spans="1:6" ht="12.75">
      <c r="A201" t="s">
        <v>144</v>
      </c>
      <c r="B201" s="15" t="str">
        <f>"15.000,00"</f>
        <v>15.000,00</v>
      </c>
      <c r="C201" s="15" t="str">
        <f>"25.000,00"</f>
        <v>25.000,00</v>
      </c>
      <c r="D201" s="1">
        <f>1623440/100</f>
        <v>16234.4</v>
      </c>
      <c r="E201">
        <f>10823/100</f>
        <v>108.23</v>
      </c>
      <c r="F201">
        <f>6494/100</f>
        <v>64.94</v>
      </c>
    </row>
    <row r="202" spans="1:6" ht="12.75">
      <c r="A202" t="s">
        <v>145</v>
      </c>
      <c r="B202" s="15" t="str">
        <f>"150.000,00"</f>
        <v>150.000,00</v>
      </c>
      <c r="C202" s="15" t="str">
        <f>"180.000,00"</f>
        <v>180.000,00</v>
      </c>
      <c r="D202" s="1">
        <f>13638000/100</f>
        <v>136380</v>
      </c>
      <c r="E202">
        <f>9092/100</f>
        <v>90.92</v>
      </c>
      <c r="F202">
        <f>7577/100</f>
        <v>75.77</v>
      </c>
    </row>
    <row r="203" spans="1:6" ht="12.75">
      <c r="A203" t="s">
        <v>146</v>
      </c>
      <c r="B203" s="15" t="str">
        <f>"172.000,00"</f>
        <v>172.000,00</v>
      </c>
      <c r="C203" s="15" t="str">
        <f>"172.000,00"</f>
        <v>172.000,00</v>
      </c>
      <c r="D203" s="1">
        <f>11462300/100</f>
        <v>114623</v>
      </c>
      <c r="E203">
        <f>6664/100</f>
        <v>66.64</v>
      </c>
      <c r="F203">
        <f>6664/100</f>
        <v>66.64</v>
      </c>
    </row>
    <row r="204" spans="1:9" ht="12.75">
      <c r="A204" t="s">
        <v>147</v>
      </c>
      <c r="D204" s="1">
        <f>100000/100</f>
        <v>1000</v>
      </c>
      <c r="I204" s="2">
        <v>1000</v>
      </c>
    </row>
    <row r="205" spans="1:11" s="23" customFormat="1" ht="13.5" thickBot="1">
      <c r="A205" s="23" t="s">
        <v>148</v>
      </c>
      <c r="B205" s="24" t="str">
        <f>"41.000,00"</f>
        <v>41.000,00</v>
      </c>
      <c r="C205" s="24" t="str">
        <f>"41.000,00"</f>
        <v>41.000,00</v>
      </c>
      <c r="D205" s="25">
        <f>2446600/100</f>
        <v>24466</v>
      </c>
      <c r="E205" s="23">
        <f>5967/100</f>
        <v>59.67</v>
      </c>
      <c r="F205" s="23">
        <f>5967/100</f>
        <v>59.67</v>
      </c>
      <c r="H205" s="26"/>
      <c r="I205" s="27"/>
      <c r="K205" s="25"/>
    </row>
    <row r="206" spans="1:6" ht="12.75">
      <c r="A206" t="s">
        <v>149</v>
      </c>
      <c r="B206" s="15" t="str">
        <f>"846.500,00"</f>
        <v>846.500,00</v>
      </c>
      <c r="C206" s="15" t="str">
        <f>"911.500,00"</f>
        <v>911.500,00</v>
      </c>
      <c r="D206" s="1">
        <f>57353340/100</f>
        <v>573533.4</v>
      </c>
      <c r="E206">
        <f>6775/100</f>
        <v>67.75</v>
      </c>
      <c r="F206">
        <f>6292/100</f>
        <v>62.92</v>
      </c>
    </row>
    <row r="208" spans="1:6" ht="12.75">
      <c r="A208" t="s">
        <v>150</v>
      </c>
      <c r="B208" s="15" t="str">
        <f>"65.000,00"</f>
        <v>65.000,00</v>
      </c>
      <c r="C208" s="15" t="str">
        <f>"65.000,00"</f>
        <v>65.000,00</v>
      </c>
      <c r="D208" s="1">
        <f>29500/100</f>
        <v>295</v>
      </c>
      <c r="E208">
        <f>45/100</f>
        <v>0.45</v>
      </c>
      <c r="F208">
        <f>45/100</f>
        <v>0.45</v>
      </c>
    </row>
    <row r="209" spans="1:11" s="23" customFormat="1" ht="13.5" thickBot="1">
      <c r="A209" s="23" t="s">
        <v>151</v>
      </c>
      <c r="B209" s="24" t="str">
        <f>"5.000,00"</f>
        <v>5.000,00</v>
      </c>
      <c r="C209" s="24" t="str">
        <f>"5.000,00"</f>
        <v>5.000,00</v>
      </c>
      <c r="D209" s="25">
        <f>420000/100</f>
        <v>4200</v>
      </c>
      <c r="E209" s="23">
        <f>8400/100</f>
        <v>84</v>
      </c>
      <c r="F209" s="23">
        <f>8400/100</f>
        <v>84</v>
      </c>
      <c r="H209" s="26"/>
      <c r="I209" s="27"/>
      <c r="K209" s="25"/>
    </row>
    <row r="210" spans="1:6" ht="12.75">
      <c r="A210" t="s">
        <v>152</v>
      </c>
      <c r="B210" s="15" t="str">
        <f>"70.000,00"</f>
        <v>70.000,00</v>
      </c>
      <c r="C210" s="15" t="str">
        <f>"70.000,00"</f>
        <v>70.000,00</v>
      </c>
      <c r="D210" s="1">
        <f>449500/100</f>
        <v>4495</v>
      </c>
      <c r="E210">
        <f>642/100</f>
        <v>6.42</v>
      </c>
      <c r="F210">
        <f>642/100</f>
        <v>6.42</v>
      </c>
    </row>
    <row r="212" spans="1:6" ht="12.75">
      <c r="A212" t="s">
        <v>153</v>
      </c>
      <c r="B212" s="15" t="str">
        <f>"3.000,00"</f>
        <v>3.000,00</v>
      </c>
      <c r="C212" s="15" t="str">
        <f>"3.000,00"</f>
        <v>3.000,00</v>
      </c>
      <c r="D212" s="1">
        <f>310000/100</f>
        <v>3100</v>
      </c>
      <c r="E212">
        <f>10333/100</f>
        <v>103.33</v>
      </c>
      <c r="F212">
        <f>10333/100</f>
        <v>103.33</v>
      </c>
    </row>
    <row r="213" spans="1:9" ht="12.75">
      <c r="A213" t="s">
        <v>154</v>
      </c>
      <c r="B213" s="15" t="str">
        <f>"15.000,00"</f>
        <v>15.000,00</v>
      </c>
      <c r="C213" s="15" t="str">
        <f>"15.000,00"</f>
        <v>15.000,00</v>
      </c>
      <c r="I213" s="2">
        <v>-10000</v>
      </c>
    </row>
    <row r="214" spans="1:6" ht="12.75">
      <c r="A214" t="s">
        <v>155</v>
      </c>
      <c r="B214" s="15" t="str">
        <f>"3.500,00"</f>
        <v>3.500,00</v>
      </c>
      <c r="C214" s="15" t="str">
        <f>"3.500,00"</f>
        <v>3.500,00</v>
      </c>
      <c r="D214" s="1">
        <f>320000/100</f>
        <v>3200</v>
      </c>
      <c r="E214">
        <f>9143/100</f>
        <v>91.43</v>
      </c>
      <c r="F214">
        <f>9143/100</f>
        <v>91.43</v>
      </c>
    </row>
    <row r="215" spans="1:9" ht="12.75">
      <c r="A215" t="s">
        <v>156</v>
      </c>
      <c r="B215" s="15" t="str">
        <f>"55.000,00"</f>
        <v>55.000,00</v>
      </c>
      <c r="C215" s="15" t="str">
        <f>"55.000,00"</f>
        <v>55.000,00</v>
      </c>
      <c r="D215" s="1">
        <f>4550500/100</f>
        <v>45505</v>
      </c>
      <c r="E215">
        <f>8274/100</f>
        <v>82.74</v>
      </c>
      <c r="F215">
        <f>8274/100</f>
        <v>82.74</v>
      </c>
      <c r="I215" s="2">
        <v>10000</v>
      </c>
    </row>
    <row r="216" spans="1:6" ht="12.75">
      <c r="A216" t="s">
        <v>157</v>
      </c>
      <c r="B216" s="15" t="str">
        <f>"55.000,00"</f>
        <v>55.000,00</v>
      </c>
      <c r="C216" s="15" t="str">
        <f>"55.000,00"</f>
        <v>55.000,00</v>
      </c>
      <c r="D216" s="1">
        <f>465420/100</f>
        <v>4654.2</v>
      </c>
      <c r="E216">
        <f>846/100</f>
        <v>8.46</v>
      </c>
      <c r="F216">
        <f>846/100</f>
        <v>8.46</v>
      </c>
    </row>
    <row r="217" spans="1:6" ht="12.75">
      <c r="A217" t="s">
        <v>158</v>
      </c>
      <c r="B217" s="15" t="str">
        <f>"3.000,00"</f>
        <v>3.000,00</v>
      </c>
      <c r="C217" s="15" t="str">
        <f>"3.000,00"</f>
        <v>3.000,00</v>
      </c>
      <c r="D217" s="1">
        <f>250300/100</f>
        <v>2503</v>
      </c>
      <c r="E217">
        <f>8343/100</f>
        <v>83.43</v>
      </c>
      <c r="F217">
        <f>8343/100</f>
        <v>83.43</v>
      </c>
    </row>
    <row r="218" spans="1:6" ht="12.75">
      <c r="A218" t="s">
        <v>159</v>
      </c>
      <c r="B218" s="15" t="str">
        <f>"1.000,00"</f>
        <v>1.000,00</v>
      </c>
      <c r="C218" s="15" t="str">
        <f>"1.000,00"</f>
        <v>1.000,00</v>
      </c>
      <c r="D218" s="1">
        <f>11480/100</f>
        <v>114.8</v>
      </c>
      <c r="E218">
        <f>1148/100</f>
        <v>11.48</v>
      </c>
      <c r="F218">
        <f>1148/100</f>
        <v>11.48</v>
      </c>
    </row>
    <row r="219" spans="1:6" ht="12.75">
      <c r="A219" t="s">
        <v>160</v>
      </c>
      <c r="B219" s="15" t="str">
        <f>"27.600,00"</f>
        <v>27.600,00</v>
      </c>
      <c r="C219" s="15" t="str">
        <f>"27.600,00"</f>
        <v>27.600,00</v>
      </c>
      <c r="D219" s="1">
        <f>1989400/100</f>
        <v>19894</v>
      </c>
      <c r="E219">
        <f>7208/100</f>
        <v>72.08</v>
      </c>
      <c r="F219">
        <f>7208/100</f>
        <v>72.08</v>
      </c>
    </row>
    <row r="220" spans="1:6" ht="12.75">
      <c r="A220" t="s">
        <v>161</v>
      </c>
      <c r="B220" s="15" t="str">
        <f>"10.000,00"</f>
        <v>10.000,00</v>
      </c>
      <c r="C220" s="15" t="str">
        <f>"10.000,00"</f>
        <v>10.000,00</v>
      </c>
      <c r="D220" s="1">
        <f>698800/100</f>
        <v>6988</v>
      </c>
      <c r="E220">
        <f>6988/100</f>
        <v>69.88</v>
      </c>
      <c r="F220">
        <f>6988/100</f>
        <v>69.88</v>
      </c>
    </row>
    <row r="221" spans="1:6" ht="12.75">
      <c r="A221" t="s">
        <v>162</v>
      </c>
      <c r="B221" s="15" t="str">
        <f>"20.000,00"</f>
        <v>20.000,00</v>
      </c>
      <c r="C221" s="15" t="str">
        <f>"20.000,00"</f>
        <v>20.000,00</v>
      </c>
      <c r="D221" s="1">
        <f>557220/100</f>
        <v>5572.2</v>
      </c>
      <c r="E221">
        <f>2786/100</f>
        <v>27.86</v>
      </c>
      <c r="F221">
        <f>2786/100</f>
        <v>27.86</v>
      </c>
    </row>
    <row r="222" spans="1:6" ht="12.75">
      <c r="A222" t="s">
        <v>163</v>
      </c>
      <c r="B222" s="15" t="str">
        <f>"9.000,00"</f>
        <v>9.000,00</v>
      </c>
      <c r="C222" s="15" t="str">
        <f>"9.000,00"</f>
        <v>9.000,00</v>
      </c>
      <c r="D222" s="1">
        <f>698494/100</f>
        <v>6984.94</v>
      </c>
      <c r="E222">
        <f>7761/100</f>
        <v>77.61</v>
      </c>
      <c r="F222">
        <f>7761/100</f>
        <v>77.61</v>
      </c>
    </row>
    <row r="223" spans="1:9" ht="12.75">
      <c r="A223" t="s">
        <v>164</v>
      </c>
      <c r="B223" s="15" t="str">
        <f>"2.000,00"</f>
        <v>2.000,00</v>
      </c>
      <c r="C223" s="15" t="str">
        <f>"2.000,00"</f>
        <v>2.000,00</v>
      </c>
      <c r="I223" s="2">
        <v>-2000</v>
      </c>
    </row>
    <row r="224" spans="1:6" ht="12.75">
      <c r="A224" t="s">
        <v>165</v>
      </c>
      <c r="B224" s="15" t="str">
        <f>"10.000,00"</f>
        <v>10.000,00</v>
      </c>
      <c r="C224" s="15" t="str">
        <f>"10.000,00"</f>
        <v>10.000,00</v>
      </c>
      <c r="D224" s="1">
        <f>885600/100</f>
        <v>8856</v>
      </c>
      <c r="E224">
        <f>8856/100</f>
        <v>88.56</v>
      </c>
      <c r="F224">
        <f>8856/100</f>
        <v>88.56</v>
      </c>
    </row>
    <row r="225" spans="1:3" ht="12.75">
      <c r="A225" t="s">
        <v>166</v>
      </c>
      <c r="B225" s="15" t="str">
        <f>"15.000,00"</f>
        <v>15.000,00</v>
      </c>
      <c r="C225" s="15" t="str">
        <f>"15.000,00"</f>
        <v>15.000,00</v>
      </c>
    </row>
    <row r="226" spans="1:9" ht="12.75">
      <c r="A226" t="s">
        <v>167</v>
      </c>
      <c r="B226" s="15" t="str">
        <f>"2.000,00"</f>
        <v>2.000,00</v>
      </c>
      <c r="C226" s="15" t="str">
        <f>"2.000,00"</f>
        <v>2.000,00</v>
      </c>
      <c r="I226" s="2">
        <v>-2000</v>
      </c>
    </row>
    <row r="227" spans="1:11" s="23" customFormat="1" ht="13.5" thickBot="1">
      <c r="A227" s="23" t="s">
        <v>168</v>
      </c>
      <c r="B227" s="24" t="str">
        <f>"300.000,00"</f>
        <v>300.000,00</v>
      </c>
      <c r="C227" s="24" t="str">
        <f>"300.000,00"</f>
        <v>300.000,00</v>
      </c>
      <c r="D227" s="25">
        <f>22207100/100</f>
        <v>222071</v>
      </c>
      <c r="E227" s="23">
        <f>7402/100</f>
        <v>74.02</v>
      </c>
      <c r="F227" s="23">
        <f>7402/100</f>
        <v>74.02</v>
      </c>
      <c r="H227" s="26"/>
      <c r="I227" s="27">
        <v>-75000</v>
      </c>
      <c r="K227" s="25"/>
    </row>
    <row r="228" spans="1:6" ht="12.75">
      <c r="A228" t="s">
        <v>169</v>
      </c>
      <c r="B228" s="15" t="str">
        <f>"531.100,00"</f>
        <v>531.100,00</v>
      </c>
      <c r="C228" s="15" t="str">
        <f>"531.100,00"</f>
        <v>531.100,00</v>
      </c>
      <c r="D228" s="1">
        <f>32944314/100</f>
        <v>329443.14</v>
      </c>
      <c r="E228">
        <f>6203/100</f>
        <v>62.03</v>
      </c>
      <c r="F228">
        <f>6203/100</f>
        <v>62.03</v>
      </c>
    </row>
    <row r="230" spans="1:11" s="23" customFormat="1" ht="13.5" thickBot="1">
      <c r="A230" s="23" t="s">
        <v>170</v>
      </c>
      <c r="B230" s="24" t="str">
        <f>"850.000,00"</f>
        <v>850.000,00</v>
      </c>
      <c r="C230" s="24" t="str">
        <f>"850.000,00"</f>
        <v>850.000,00</v>
      </c>
      <c r="D230" s="25">
        <f>57577800/100</f>
        <v>575778</v>
      </c>
      <c r="E230" s="23">
        <f>6774/100</f>
        <v>67.74</v>
      </c>
      <c r="F230" s="23">
        <f>6774/100</f>
        <v>67.74</v>
      </c>
      <c r="H230" s="26"/>
      <c r="I230" s="27"/>
      <c r="K230" s="25"/>
    </row>
    <row r="231" spans="1:6" ht="12.75">
      <c r="A231" t="s">
        <v>171</v>
      </c>
      <c r="B231" s="15" t="str">
        <f>"850.000,00"</f>
        <v>850.000,00</v>
      </c>
      <c r="C231" s="15" t="str">
        <f>"850.000,00"</f>
        <v>850.000,00</v>
      </c>
      <c r="D231" s="1">
        <f>57577800/100</f>
        <v>575778</v>
      </c>
      <c r="E231">
        <f>6774/100</f>
        <v>67.74</v>
      </c>
      <c r="F231">
        <f>6774/100</f>
        <v>67.74</v>
      </c>
    </row>
    <row r="233" spans="1:11" s="23" customFormat="1" ht="13.5" thickBot="1">
      <c r="A233" s="23" t="s">
        <v>172</v>
      </c>
      <c r="B233" s="24"/>
      <c r="C233" s="24" t="str">
        <f>"5.440,00"</f>
        <v>5.440,00</v>
      </c>
      <c r="D233" s="25">
        <f>544000/100</f>
        <v>5440</v>
      </c>
      <c r="F233" s="23">
        <f>10000/100</f>
        <v>100</v>
      </c>
      <c r="H233" s="26"/>
      <c r="I233" s="27"/>
      <c r="K233" s="25"/>
    </row>
    <row r="234" spans="1:6" ht="12.75">
      <c r="A234" t="s">
        <v>173</v>
      </c>
      <c r="C234" s="15" t="str">
        <f>"5.440,00"</f>
        <v>5.440,00</v>
      </c>
      <c r="D234" s="1">
        <f>544000/100</f>
        <v>5440</v>
      </c>
      <c r="F234">
        <f>10000/100</f>
        <v>100</v>
      </c>
    </row>
    <row r="236" spans="1:6" ht="12.75">
      <c r="A236" t="s">
        <v>174</v>
      </c>
      <c r="B236" s="15" t="str">
        <f>"40.000,00"</f>
        <v>40.000,00</v>
      </c>
      <c r="C236" s="15" t="str">
        <f>"400.000,00"</f>
        <v>400.000,00</v>
      </c>
      <c r="D236" s="1">
        <f>26912200/100</f>
        <v>269122</v>
      </c>
      <c r="E236">
        <f>67281/100</f>
        <v>672.81</v>
      </c>
      <c r="F236">
        <f>6728/100</f>
        <v>67.28</v>
      </c>
    </row>
    <row r="237" spans="1:6" ht="12.75">
      <c r="A237" t="s">
        <v>175</v>
      </c>
      <c r="C237" s="15" t="str">
        <f>"10.000,00"</f>
        <v>10.000,00</v>
      </c>
      <c r="D237" s="1">
        <f>846400/100</f>
        <v>8464</v>
      </c>
      <c r="F237">
        <f>8464/100</f>
        <v>84.64</v>
      </c>
    </row>
    <row r="238" spans="1:6" ht="12.75">
      <c r="A238" t="s">
        <v>176</v>
      </c>
      <c r="B238" s="15" t="str">
        <f>"25.000,00"</f>
        <v>25.000,00</v>
      </c>
      <c r="C238" s="15" t="str">
        <f>"25.000,00"</f>
        <v>25.000,00</v>
      </c>
      <c r="D238" s="1">
        <f>1450200/100</f>
        <v>14502</v>
      </c>
      <c r="E238">
        <f>5801/100</f>
        <v>58.01</v>
      </c>
      <c r="F238">
        <f>5801/100</f>
        <v>58.01</v>
      </c>
    </row>
    <row r="239" spans="1:6" ht="12.75">
      <c r="A239" t="s">
        <v>177</v>
      </c>
      <c r="B239" s="15" t="str">
        <f>"270.000,00"</f>
        <v>270.000,00</v>
      </c>
      <c r="C239" s="15" t="str">
        <f>"270.000,00"</f>
        <v>270.000,00</v>
      </c>
      <c r="D239" s="1">
        <f>16323900/100</f>
        <v>163239</v>
      </c>
      <c r="E239">
        <f>6046/100</f>
        <v>60.46</v>
      </c>
      <c r="F239">
        <f>6046/100</f>
        <v>60.46</v>
      </c>
    </row>
    <row r="240" spans="1:6" ht="12.75">
      <c r="A240" t="s">
        <v>178</v>
      </c>
      <c r="B240" s="15" t="str">
        <f>"110.000,00"</f>
        <v>110.000,00</v>
      </c>
      <c r="C240" s="15" t="str">
        <f>"110.000,00"</f>
        <v>110.000,00</v>
      </c>
      <c r="D240" s="1">
        <f>7669000/100</f>
        <v>76690</v>
      </c>
      <c r="E240">
        <f>6972/100</f>
        <v>69.72</v>
      </c>
      <c r="F240">
        <f>6972/100</f>
        <v>69.72</v>
      </c>
    </row>
    <row r="241" spans="1:6" ht="12.75">
      <c r="A241" t="s">
        <v>179</v>
      </c>
      <c r="B241" s="15" t="str">
        <f>"5.000,00"</f>
        <v>5.000,00</v>
      </c>
      <c r="C241" s="15" t="str">
        <f>"5.000,00"</f>
        <v>5.000,00</v>
      </c>
      <c r="D241" s="1">
        <f>357100/100</f>
        <v>3571</v>
      </c>
      <c r="E241">
        <f>7142/100</f>
        <v>71.42</v>
      </c>
      <c r="F241">
        <f>7142/100</f>
        <v>71.42</v>
      </c>
    </row>
    <row r="242" spans="1:9" ht="12.75">
      <c r="A242" t="s">
        <v>180</v>
      </c>
      <c r="B242" s="15" t="str">
        <f>"15.000,00"</f>
        <v>15.000,00</v>
      </c>
      <c r="C242" s="15" t="str">
        <f>"15.000,00"</f>
        <v>15.000,00</v>
      </c>
      <c r="D242" s="1">
        <f>103330/100</f>
        <v>1033.3</v>
      </c>
      <c r="E242">
        <f>689/100</f>
        <v>6.89</v>
      </c>
      <c r="F242">
        <f>689/100</f>
        <v>6.89</v>
      </c>
      <c r="I242" s="2">
        <v>-10000</v>
      </c>
    </row>
    <row r="243" spans="1:6" ht="12.75">
      <c r="A243" t="s">
        <v>181</v>
      </c>
      <c r="B243" s="15" t="str">
        <f>"5.000,00"</f>
        <v>5.000,00</v>
      </c>
      <c r="C243" s="15" t="str">
        <f>"15.000,00"</f>
        <v>15.000,00</v>
      </c>
      <c r="D243" s="1">
        <f>1168000/100</f>
        <v>11680</v>
      </c>
      <c r="E243">
        <f>23360/100</f>
        <v>233.6</v>
      </c>
      <c r="F243">
        <f>7787/100</f>
        <v>77.87</v>
      </c>
    </row>
    <row r="244" spans="1:6" ht="12.75">
      <c r="A244" t="s">
        <v>182</v>
      </c>
      <c r="B244" s="15" t="str">
        <f>"45.000,00"</f>
        <v>45.000,00</v>
      </c>
      <c r="C244" s="15" t="str">
        <f>"45.000,00"</f>
        <v>45.000,00</v>
      </c>
      <c r="D244" s="1">
        <f>2644500/100</f>
        <v>26445</v>
      </c>
      <c r="E244">
        <f>5877/100</f>
        <v>58.77</v>
      </c>
      <c r="F244">
        <f>5877/100</f>
        <v>58.77</v>
      </c>
    </row>
    <row r="245" spans="1:6" ht="12.75">
      <c r="A245" t="s">
        <v>183</v>
      </c>
      <c r="B245" s="15" t="str">
        <f>"10.000,00"</f>
        <v>10.000,00</v>
      </c>
      <c r="C245" s="15" t="str">
        <f>"10.000,00"</f>
        <v>10.000,00</v>
      </c>
      <c r="D245" s="1">
        <f>852800/100</f>
        <v>8528</v>
      </c>
      <c r="E245">
        <f>8528/100</f>
        <v>85.28</v>
      </c>
      <c r="F245">
        <f>8528/100</f>
        <v>85.28</v>
      </c>
    </row>
    <row r="246" spans="1:6" ht="12.75">
      <c r="A246" t="s">
        <v>184</v>
      </c>
      <c r="B246" s="15" t="str">
        <f>"49.500,00"</f>
        <v>49.500,00</v>
      </c>
      <c r="C246" s="15" t="str">
        <f>"49.500,00"</f>
        <v>49.500,00</v>
      </c>
      <c r="D246" s="1">
        <f>4642400/100</f>
        <v>46424</v>
      </c>
      <c r="E246">
        <f>9379/100</f>
        <v>93.79</v>
      </c>
      <c r="F246">
        <f>9379/100</f>
        <v>93.79</v>
      </c>
    </row>
    <row r="247" spans="1:6" ht="12.75">
      <c r="A247" t="s">
        <v>185</v>
      </c>
      <c r="B247" s="15" t="str">
        <f>"20.000,00"</f>
        <v>20.000,00</v>
      </c>
      <c r="C247" s="15" t="str">
        <f>"20.000,00"</f>
        <v>20.000,00</v>
      </c>
      <c r="D247" s="1">
        <f>1263000/100</f>
        <v>12630</v>
      </c>
      <c r="E247">
        <f>6315/100</f>
        <v>63.15</v>
      </c>
      <c r="F247">
        <f>6315/100</f>
        <v>63.15</v>
      </c>
    </row>
    <row r="248" spans="1:6" ht="12.75">
      <c r="A248" t="s">
        <v>186</v>
      </c>
      <c r="B248" s="15" t="str">
        <f>"30.000,00"</f>
        <v>30.000,00</v>
      </c>
      <c r="C248" s="15" t="str">
        <f>"30.000,00"</f>
        <v>30.000,00</v>
      </c>
      <c r="D248" s="1">
        <f>2744420/100</f>
        <v>27444.2</v>
      </c>
      <c r="E248">
        <f>9148/100</f>
        <v>91.48</v>
      </c>
      <c r="F248">
        <f>9148/100</f>
        <v>91.48</v>
      </c>
    </row>
    <row r="249" spans="1:3" ht="12.75">
      <c r="A249" t="s">
        <v>187</v>
      </c>
      <c r="B249" s="15" t="str">
        <f>"20.000,00"</f>
        <v>20.000,00</v>
      </c>
      <c r="C249" s="15" t="str">
        <f>"20.000,00"</f>
        <v>20.000,00</v>
      </c>
    </row>
    <row r="250" spans="1:3" ht="12.75">
      <c r="A250" t="s">
        <v>188</v>
      </c>
      <c r="B250" s="15" t="str">
        <f>"5.000,00"</f>
        <v>5.000,00</v>
      </c>
      <c r="C250" s="15" t="str">
        <f>"5.000,00"</f>
        <v>5.000,00</v>
      </c>
    </row>
    <row r="251" spans="1:6" ht="12.75">
      <c r="A251" t="s">
        <v>189</v>
      </c>
      <c r="B251" s="15" t="str">
        <f>"5.000,00"</f>
        <v>5.000,00</v>
      </c>
      <c r="C251" s="15" t="str">
        <f>"5.000,00"</f>
        <v>5.000,00</v>
      </c>
      <c r="D251" s="1">
        <f>185000/100</f>
        <v>1850</v>
      </c>
      <c r="E251">
        <f>3700/100</f>
        <v>37</v>
      </c>
      <c r="F251">
        <f>3700/100</f>
        <v>37</v>
      </c>
    </row>
    <row r="252" spans="1:6" ht="12.75">
      <c r="A252" t="s">
        <v>190</v>
      </c>
      <c r="B252" s="15" t="str">
        <f>"70.000,00"</f>
        <v>70.000,00</v>
      </c>
      <c r="C252" s="15" t="str">
        <f>"84.886,00"</f>
        <v>84.886,00</v>
      </c>
      <c r="D252" s="1">
        <f>5262660/100</f>
        <v>52626.6</v>
      </c>
      <c r="E252">
        <f>7518/100</f>
        <v>75.18</v>
      </c>
      <c r="F252">
        <f>6200/100</f>
        <v>62</v>
      </c>
    </row>
    <row r="253" spans="1:6" ht="12.75">
      <c r="A253" t="s">
        <v>191</v>
      </c>
      <c r="B253" s="15" t="str">
        <f>"5.000,00"</f>
        <v>5.000,00</v>
      </c>
      <c r="C253" s="15" t="str">
        <f>"5.000,00"</f>
        <v>5.000,00</v>
      </c>
      <c r="D253" s="1">
        <f>76400/100</f>
        <v>764</v>
      </c>
      <c r="E253">
        <f>1528/100</f>
        <v>15.28</v>
      </c>
      <c r="F253">
        <f>1528/100</f>
        <v>15.28</v>
      </c>
    </row>
    <row r="254" spans="1:9" ht="12.75">
      <c r="A254" t="s">
        <v>192</v>
      </c>
      <c r="B254" s="15" t="str">
        <f>"40.000,00"</f>
        <v>40.000,00</v>
      </c>
      <c r="C254" s="15" t="str">
        <f>"40.000,00"</f>
        <v>40.000,00</v>
      </c>
      <c r="I254" s="2">
        <v>-25000</v>
      </c>
    </row>
    <row r="255" spans="1:6" ht="12.75">
      <c r="A255" t="s">
        <v>193</v>
      </c>
      <c r="B255" s="15" t="str">
        <f>"35.000,00"</f>
        <v>35.000,00</v>
      </c>
      <c r="C255" s="15" t="str">
        <f>"35.000,00"</f>
        <v>35.000,00</v>
      </c>
      <c r="D255" s="1">
        <f>2114700/100</f>
        <v>21147</v>
      </c>
      <c r="E255">
        <f>6042/100</f>
        <v>60.42</v>
      </c>
      <c r="F255">
        <f>6042/100</f>
        <v>60.42</v>
      </c>
    </row>
    <row r="256" spans="1:6" ht="12.75">
      <c r="A256" t="s">
        <v>194</v>
      </c>
      <c r="B256" s="15" t="str">
        <f>"20.000,00"</f>
        <v>20.000,00</v>
      </c>
      <c r="C256" s="15" t="str">
        <f>"20.000,00"</f>
        <v>20.000,00</v>
      </c>
      <c r="D256" s="1">
        <f>596680/100</f>
        <v>5966.8</v>
      </c>
      <c r="E256">
        <f>2983/100</f>
        <v>29.83</v>
      </c>
      <c r="F256">
        <f>2983/100</f>
        <v>29.83</v>
      </c>
    </row>
    <row r="257" spans="1:4" ht="12.75">
      <c r="A257" t="s">
        <v>195</v>
      </c>
      <c r="D257" s="1">
        <f>68000/100</f>
        <v>680</v>
      </c>
    </row>
    <row r="258" spans="1:4" ht="12.75">
      <c r="A258" t="s">
        <v>196</v>
      </c>
      <c r="D258" s="1">
        <f>6550100/100</f>
        <v>65501</v>
      </c>
    </row>
    <row r="259" spans="1:6" ht="12.75">
      <c r="A259" t="s">
        <v>197</v>
      </c>
      <c r="B259" s="15" t="str">
        <f>"50.000,00"</f>
        <v>50.000,00</v>
      </c>
      <c r="C259" s="15" t="str">
        <f>"50.000,00"</f>
        <v>50.000,00</v>
      </c>
      <c r="D259" s="1">
        <f>1844200/100</f>
        <v>18442</v>
      </c>
      <c r="E259">
        <f>3688/100</f>
        <v>36.88</v>
      </c>
      <c r="F259">
        <f>3688/100</f>
        <v>36.88</v>
      </c>
    </row>
    <row r="260" spans="1:6" ht="12.75">
      <c r="A260" t="s">
        <v>198</v>
      </c>
      <c r="B260" s="15" t="str">
        <f>"4.000,00"</f>
        <v>4.000,00</v>
      </c>
      <c r="C260" s="15" t="str">
        <f>"4.000,00"</f>
        <v>4.000,00</v>
      </c>
      <c r="D260" s="1">
        <f>190000/100</f>
        <v>1900</v>
      </c>
      <c r="E260">
        <f>4750/100</f>
        <v>47.5</v>
      </c>
      <c r="F260">
        <f>4750/100</f>
        <v>47.5</v>
      </c>
    </row>
    <row r="261" spans="1:11" s="23" customFormat="1" ht="13.5" thickBot="1">
      <c r="A261" s="23" t="s">
        <v>199</v>
      </c>
      <c r="B261" s="24" t="str">
        <f>"4.000,00"</f>
        <v>4.000,00</v>
      </c>
      <c r="C261" s="24" t="str">
        <f>"4.000,00"</f>
        <v>4.000,00</v>
      </c>
      <c r="D261" s="25">
        <f>330000/100</f>
        <v>3300</v>
      </c>
      <c r="E261" s="23">
        <f>8250/100</f>
        <v>82.5</v>
      </c>
      <c r="F261" s="23">
        <f>8250/100</f>
        <v>82.5</v>
      </c>
      <c r="H261" s="26"/>
      <c r="I261" s="27"/>
      <c r="K261" s="25"/>
    </row>
    <row r="262" spans="1:6" ht="12.75">
      <c r="A262" t="s">
        <v>33</v>
      </c>
      <c r="B262" s="15" t="str">
        <f>"882.500,00"</f>
        <v>882.500,00</v>
      </c>
      <c r="C262" s="15" t="str">
        <f>"1.277.386,00"</f>
        <v>1.277.386,00</v>
      </c>
      <c r="D262" s="1">
        <f>84194990/100</f>
        <v>841949.9</v>
      </c>
      <c r="E262">
        <f>9541/100</f>
        <v>95.41</v>
      </c>
      <c r="F262">
        <f>6591/100</f>
        <v>65.91</v>
      </c>
    </row>
    <row r="264" spans="1:11" s="23" customFormat="1" ht="13.5" thickBot="1">
      <c r="A264" s="23" t="s">
        <v>200</v>
      </c>
      <c r="B264" s="24" t="str">
        <f>"15.000,00"</f>
        <v>15.000,00</v>
      </c>
      <c r="C264" s="24" t="str">
        <f>"15.000,00"</f>
        <v>15.000,00</v>
      </c>
      <c r="D264" s="25">
        <f>937620/100</f>
        <v>9376.2</v>
      </c>
      <c r="E264" s="23">
        <f>6251/100</f>
        <v>62.51</v>
      </c>
      <c r="F264" s="23">
        <f>6251/100</f>
        <v>62.51</v>
      </c>
      <c r="H264" s="26"/>
      <c r="I264" s="27"/>
      <c r="K264" s="25"/>
    </row>
    <row r="265" spans="1:6" ht="12.75">
      <c r="A265" t="s">
        <v>35</v>
      </c>
      <c r="B265" s="15" t="str">
        <f>"15.000,00"</f>
        <v>15.000,00</v>
      </c>
      <c r="C265" s="15" t="str">
        <f>"15.000,00"</f>
        <v>15.000,00</v>
      </c>
      <c r="D265" s="1">
        <f>937620/100</f>
        <v>9376.2</v>
      </c>
      <c r="E265">
        <f>6251/100</f>
        <v>62.51</v>
      </c>
      <c r="F265">
        <f>6251/100</f>
        <v>62.51</v>
      </c>
    </row>
    <row r="267" spans="1:4" ht="12.75">
      <c r="A267" t="s">
        <v>201</v>
      </c>
      <c r="D267" s="1">
        <f>174202171/100</f>
        <v>1742021.71</v>
      </c>
    </row>
    <row r="268" spans="1:11" s="23" customFormat="1" ht="13.5" thickBot="1">
      <c r="A268" s="23" t="s">
        <v>202</v>
      </c>
      <c r="B268" s="24" t="str">
        <f>"30.000,00"</f>
        <v>30.000,00</v>
      </c>
      <c r="C268" s="24" t="str">
        <f>"30.000,00"</f>
        <v>30.000,00</v>
      </c>
      <c r="D268" s="25"/>
      <c r="H268" s="26"/>
      <c r="I268" s="27"/>
      <c r="K268" s="25"/>
    </row>
    <row r="269" spans="1:4" ht="12.75">
      <c r="A269" t="s">
        <v>203</v>
      </c>
      <c r="B269" s="15" t="str">
        <f>"30.000,00"</f>
        <v>30.000,00</v>
      </c>
      <c r="C269" s="15" t="str">
        <f>"30.000,00"</f>
        <v>30.000,00</v>
      </c>
      <c r="D269" s="1">
        <f>174202171/100</f>
        <v>1742021.71</v>
      </c>
    </row>
    <row r="271" spans="1:11" s="23" customFormat="1" ht="13.5" thickBot="1">
      <c r="A271" s="23" t="s">
        <v>204</v>
      </c>
      <c r="B271" s="24"/>
      <c r="C271" s="24" t="str">
        <f>"83.000,00"</f>
        <v>83.000,00</v>
      </c>
      <c r="D271" s="25">
        <f>8265000/100</f>
        <v>82650</v>
      </c>
      <c r="F271" s="23">
        <f>9958/100</f>
        <v>99.58</v>
      </c>
      <c r="H271" s="26"/>
      <c r="I271" s="27"/>
      <c r="K271" s="25"/>
    </row>
    <row r="272" spans="1:6" ht="12.75">
      <c r="A272" t="s">
        <v>205</v>
      </c>
      <c r="C272" s="15" t="str">
        <f>"83.000,00"</f>
        <v>83.000,00</v>
      </c>
      <c r="D272" s="1">
        <f>8265000/100</f>
        <v>82650</v>
      </c>
      <c r="F272">
        <f>9958/100</f>
        <v>99.58</v>
      </c>
    </row>
    <row r="274" spans="1:11" s="55" customFormat="1" ht="12.75">
      <c r="A274" s="55" t="s">
        <v>38</v>
      </c>
      <c r="B274" s="56" t="str">
        <f>"10.673.700,00"</f>
        <v>10.673.700,00</v>
      </c>
      <c r="C274" s="56" t="str">
        <f>"16.128.196,00"</f>
        <v>16.128.196,00</v>
      </c>
      <c r="D274" s="57">
        <f>1173188953/100</f>
        <v>11731889.53</v>
      </c>
      <c r="E274" s="55">
        <f>10991/100</f>
        <v>109.91</v>
      </c>
      <c r="F274" s="55">
        <f>7274/100</f>
        <v>72.74</v>
      </c>
      <c r="H274" s="48"/>
      <c r="I274" s="49">
        <f>SUM(I4:I272)</f>
        <v>-149500</v>
      </c>
      <c r="K274" s="57"/>
    </row>
    <row r="276" spans="1:11" s="40" customFormat="1" ht="12.75">
      <c r="A276" s="40" t="s">
        <v>228</v>
      </c>
      <c r="B276" s="41" t="str">
        <f>"9.605.700,00"</f>
        <v>9.605.700,00</v>
      </c>
      <c r="C276" s="41" t="str">
        <f>"16.098.196,00"</f>
        <v>16.098.196,00</v>
      </c>
      <c r="D276" s="42">
        <f>1301569241/100</f>
        <v>13015692.41</v>
      </c>
      <c r="E276" s="40">
        <f>13550/100</f>
        <v>135.5</v>
      </c>
      <c r="F276" s="40">
        <f>8085/100</f>
        <v>80.85</v>
      </c>
      <c r="H276" s="43">
        <f>H58</f>
        <v>-501000</v>
      </c>
      <c r="I276" s="44"/>
      <c r="K276" s="42"/>
    </row>
    <row r="278" spans="1:11" s="45" customFormat="1" ht="12.75">
      <c r="A278" s="45" t="s">
        <v>229</v>
      </c>
      <c r="B278" s="46" t="str">
        <f>"10.643.700,00"</f>
        <v>10.643.700,00</v>
      </c>
      <c r="C278" s="46" t="str">
        <f>"16.098.196,00"</f>
        <v>16.098.196,00</v>
      </c>
      <c r="D278" s="47">
        <f>998986782/100</f>
        <v>9989867.82</v>
      </c>
      <c r="E278" s="45">
        <f>9386/100</f>
        <v>93.86</v>
      </c>
      <c r="F278" s="45">
        <f>6206/100</f>
        <v>62.06</v>
      </c>
      <c r="H278" s="48"/>
      <c r="I278" s="49">
        <f>I274</f>
        <v>-149500</v>
      </c>
      <c r="K278" s="47"/>
    </row>
    <row r="280" spans="1:11" s="58" customFormat="1" ht="12.75">
      <c r="A280" s="58" t="s">
        <v>230</v>
      </c>
      <c r="B280" s="59" t="str">
        <f>"1.038.000,00"</f>
        <v>1.038.000,00</v>
      </c>
      <c r="C280" s="59" t="str">
        <f>"-"</f>
        <v>-</v>
      </c>
      <c r="D280" s="60">
        <f>302582459/100</f>
        <v>3025824.59</v>
      </c>
      <c r="E280" s="58">
        <f>-29151/100</f>
        <v>-291.51</v>
      </c>
      <c r="H280" s="60">
        <f>H276-I278</f>
        <v>-351500</v>
      </c>
      <c r="I280" s="61"/>
      <c r="K280" s="60"/>
    </row>
    <row r="282" spans="1:11" s="62" customFormat="1" ht="12.75">
      <c r="A282" s="62" t="s">
        <v>231</v>
      </c>
      <c r="B282" s="63" t="str">
        <f>"1.038.000,00"</f>
        <v>1.038.000,00</v>
      </c>
      <c r="C282" s="63"/>
      <c r="D282" s="64">
        <f>-302582459/100</f>
        <v>-3025824.59</v>
      </c>
      <c r="E282" s="62">
        <f>-29151/100</f>
        <v>-291.51</v>
      </c>
      <c r="H282" s="64">
        <f>H280*-1</f>
        <v>351500</v>
      </c>
      <c r="I282" s="64"/>
      <c r="K282" s="64"/>
    </row>
  </sheetData>
  <sheetProtection/>
  <mergeCells count="1">
    <mergeCell ref="A1:F1"/>
  </mergeCells>
  <printOptions gridLines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75" r:id="rId1"/>
  <rowBreaks count="5" manualBreakCount="5">
    <brk id="58" max="8" man="1"/>
    <brk id="96" max="8" man="1"/>
    <brk id="146" max="8" man="1"/>
    <brk id="193" max="8" man="1"/>
    <brk id="23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Alena</cp:lastModifiedBy>
  <cp:lastPrinted>2020-09-07T13:59:40Z</cp:lastPrinted>
  <dcterms:created xsi:type="dcterms:W3CDTF">2011-08-10T12:30:52Z</dcterms:created>
  <dcterms:modified xsi:type="dcterms:W3CDTF">2020-09-30T05:48:30Z</dcterms:modified>
  <cp:category/>
  <cp:version/>
  <cp:contentType/>
  <cp:contentStatus/>
</cp:coreProperties>
</file>